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eb8a28ad77c3dea/המנהלת להתחדשות עירונית/יזמים- מידע ופרטים/"/>
    </mc:Choice>
  </mc:AlternateContent>
  <bookViews>
    <workbookView xWindow="0" yWindow="0" windowWidth="8205" windowHeight="3045" tabRatio="790" activeTab="2"/>
  </bookViews>
  <sheets>
    <sheet name="מצב קיים" sheetId="15" r:id="rId1"/>
    <sheet name="נתוני השוואה" sheetId="16" r:id="rId2"/>
    <sheet name="פרוגרמה" sheetId="14" r:id="rId3"/>
    <sheet name="תחשיב" sheetId="2" r:id="rId4"/>
  </sheets>
  <definedNames>
    <definedName name="_xlnm.Print_Area" localSheetId="2">פרוגרמה!$A$1:$M$108</definedName>
    <definedName name="_xlnm.Print_Area" localSheetId="3">תחשיב!$A$1:$H$188</definedName>
  </definedNames>
  <calcPr calcId="152511"/>
</workbook>
</file>

<file path=xl/calcChain.xml><?xml version="1.0" encoding="utf-8"?>
<calcChain xmlns="http://schemas.openxmlformats.org/spreadsheetml/2006/main">
  <c r="D128" i="2" l="1"/>
  <c r="E27" i="14" l="1"/>
  <c r="C27" i="14"/>
  <c r="F27" i="14"/>
  <c r="D27" i="14" l="1"/>
  <c r="B136" i="2" l="1"/>
  <c r="B131" i="2"/>
  <c r="D130" i="2" l="1"/>
  <c r="D129" i="2"/>
  <c r="E13" i="14" l="1"/>
  <c r="B5" i="2"/>
  <c r="B7" i="2" l="1"/>
  <c r="B39" i="2" s="1"/>
  <c r="B130" i="2" s="1"/>
  <c r="B129" i="2" s="1"/>
  <c r="D108" i="14"/>
  <c r="D107" i="14"/>
  <c r="U67" i="14" l="1"/>
  <c r="D127" i="2" l="1"/>
  <c r="B209" i="2" l="1"/>
  <c r="D88" i="2"/>
  <c r="E149" i="2"/>
  <c r="E148" i="2"/>
  <c r="D87" i="2"/>
  <c r="D64" i="2"/>
  <c r="D65" i="2"/>
  <c r="D85" i="2"/>
  <c r="D86" i="2"/>
  <c r="D89" i="2"/>
  <c r="D94" i="2"/>
  <c r="D95" i="2"/>
  <c r="D97" i="2"/>
  <c r="D98" i="2"/>
  <c r="B99" i="2"/>
  <c r="B100" i="2"/>
  <c r="B101" i="2"/>
  <c r="D111" i="2"/>
  <c r="D112" i="2"/>
  <c r="F114" i="2"/>
  <c r="D115" i="2"/>
  <c r="D120" i="2"/>
  <c r="D121" i="2"/>
  <c r="D122" i="2"/>
  <c r="D125" i="2"/>
  <c r="D126" i="2"/>
  <c r="B132" i="2"/>
  <c r="B133" i="2"/>
  <c r="B155" i="2"/>
  <c r="B156" i="2"/>
  <c r="B157" i="2"/>
  <c r="B158" i="2"/>
  <c r="B159" i="2"/>
  <c r="E14" i="14"/>
  <c r="B193" i="2"/>
  <c r="C13" i="2"/>
  <c r="F13" i="2" s="1"/>
  <c r="C13" i="14"/>
  <c r="B115" i="2" l="1"/>
  <c r="B122" i="2" s="1"/>
  <c r="F122" i="2" s="1"/>
  <c r="E158" i="2"/>
  <c r="F158" i="2" s="1"/>
  <c r="E150" i="2"/>
  <c r="B113" i="2"/>
  <c r="C64" i="2"/>
  <c r="H64" i="2" s="1"/>
  <c r="C14" i="2"/>
  <c r="F14" i="2" s="1"/>
  <c r="B128" i="2"/>
  <c r="F128" i="2" s="1"/>
  <c r="G13" i="14"/>
  <c r="G14" i="14" s="1"/>
  <c r="E159" i="2"/>
  <c r="F159" i="2" s="1"/>
  <c r="B127" i="2"/>
  <c r="F127" i="2" s="1"/>
  <c r="B8" i="2"/>
  <c r="B126" i="2"/>
  <c r="B125" i="2"/>
  <c r="F125" i="2" s="1"/>
  <c r="B76" i="2"/>
  <c r="F126" i="2"/>
  <c r="F13" i="14"/>
  <c r="D13" i="14"/>
  <c r="D113" i="2"/>
  <c r="B65" i="2"/>
  <c r="B168" i="2" l="1"/>
  <c r="F113" i="2"/>
  <c r="C65" i="2"/>
  <c r="H65" i="2" s="1"/>
  <c r="F129" i="2"/>
  <c r="F130" i="2"/>
  <c r="B192" i="2"/>
  <c r="B112" i="2"/>
  <c r="B86" i="2"/>
  <c r="F115" i="2"/>
  <c r="F14" i="14"/>
  <c r="B121" i="2" l="1"/>
  <c r="F121" i="2" s="1"/>
  <c r="E65" i="2"/>
  <c r="G65" i="2" s="1"/>
  <c r="E79" i="2"/>
  <c r="B165" i="2" s="1"/>
  <c r="C193" i="2" l="1"/>
  <c r="D193" i="2" s="1"/>
  <c r="D131" i="2" l="1"/>
  <c r="E33" i="14" l="1"/>
  <c r="E34" i="14"/>
  <c r="E32" i="14" l="1"/>
  <c r="B187" i="2" l="1"/>
  <c r="E22" i="14"/>
  <c r="B111" i="2"/>
  <c r="B64" i="2" l="1"/>
  <c r="B120" i="2"/>
  <c r="F120" i="2" s="1"/>
  <c r="F123" i="2" s="1"/>
  <c r="F111" i="2"/>
  <c r="F32" i="14"/>
  <c r="E112" i="2"/>
  <c r="E64" i="2" l="1"/>
  <c r="B66" i="2"/>
  <c r="F112" i="2"/>
  <c r="F116" i="2" s="1"/>
  <c r="B85" i="2"/>
  <c r="E86" i="2"/>
  <c r="F86" i="2" s="1"/>
  <c r="B194" i="2"/>
  <c r="B87" i="2"/>
  <c r="B98" i="2"/>
  <c r="B97" i="2"/>
  <c r="F97" i="2" s="1"/>
  <c r="B57" i="2" s="1"/>
  <c r="F98" i="2"/>
  <c r="B195" i="2"/>
  <c r="B88" i="2"/>
  <c r="C15" i="2"/>
  <c r="G64" i="2" l="1"/>
  <c r="G66" i="2" s="1"/>
  <c r="E66" i="2"/>
  <c r="C66" i="2" s="1"/>
  <c r="B196" i="2"/>
  <c r="B89" i="2"/>
  <c r="B191" i="2"/>
  <c r="C195" i="2"/>
  <c r="D195" i="2" s="1"/>
  <c r="F88" i="2"/>
  <c r="B178" i="2"/>
  <c r="B186" i="2"/>
  <c r="B59" i="2"/>
  <c r="C194" i="2"/>
  <c r="D194" i="2" s="1"/>
  <c r="F87" i="2"/>
  <c r="F133" i="2"/>
  <c r="F132" i="2"/>
  <c r="C191" i="2"/>
  <c r="D191" i="2" s="1"/>
  <c r="B94" i="2"/>
  <c r="F94" i="2" s="1"/>
  <c r="F85" i="2"/>
  <c r="C192" i="2"/>
  <c r="D192" i="2" s="1"/>
  <c r="G67" i="2" l="1"/>
  <c r="B200" i="2"/>
  <c r="F66" i="2"/>
  <c r="D15" i="2" s="1"/>
  <c r="H66" i="2"/>
  <c r="F99" i="2"/>
  <c r="E157" i="2"/>
  <c r="F157" i="2" s="1"/>
  <c r="C196" i="2"/>
  <c r="D196" i="2" s="1"/>
  <c r="B95" i="2"/>
  <c r="F95" i="2" s="1"/>
  <c r="F96" i="2" s="1"/>
  <c r="F89" i="2"/>
  <c r="F134" i="2"/>
  <c r="F135" i="2" s="1"/>
  <c r="F136" i="2" s="1"/>
  <c r="F90" i="2"/>
  <c r="F100" i="2" s="1"/>
  <c r="B56" i="2" l="1"/>
  <c r="B58" i="2" s="1"/>
  <c r="F15" i="2"/>
  <c r="B213" i="2"/>
  <c r="G69" i="2"/>
  <c r="B179" i="2" s="1"/>
  <c r="H67" i="2"/>
  <c r="B214" i="2" s="1"/>
  <c r="B216" i="2" s="1"/>
  <c r="B201" i="2"/>
  <c r="B203" i="2" s="1"/>
  <c r="F137" i="2"/>
  <c r="F139" i="2" s="1"/>
  <c r="F101" i="2"/>
  <c r="F103" i="2" s="1"/>
  <c r="F105" i="2" s="1"/>
  <c r="B204" i="2" l="1"/>
  <c r="B205" i="2" s="1"/>
  <c r="B207" i="2" s="1"/>
  <c r="F106" i="2"/>
  <c r="F107" i="2"/>
  <c r="B217" i="2" s="1"/>
  <c r="B218" i="2" s="1"/>
  <c r="B219" i="2" s="1"/>
  <c r="B166" i="2"/>
  <c r="F138" i="2"/>
  <c r="B167" i="2"/>
  <c r="E156" i="2" s="1"/>
  <c r="F156" i="2" s="1"/>
  <c r="B220" i="2" l="1"/>
  <c r="B206" i="2"/>
  <c r="B208" i="2"/>
  <c r="B210" i="2"/>
  <c r="E155" i="2"/>
  <c r="F155" i="2" s="1"/>
  <c r="F160" i="2" s="1"/>
  <c r="F161" i="2" s="1"/>
  <c r="B169" i="2" l="1"/>
  <c r="B174" i="2" s="1"/>
  <c r="B180" i="2" s="1"/>
  <c r="B181" i="2" s="1"/>
  <c r="B183" i="2" s="1"/>
  <c r="B184" i="2" s="1"/>
  <c r="B4" i="2" l="1"/>
  <c r="B185" i="2"/>
</calcChain>
</file>

<file path=xl/sharedStrings.xml><?xml version="1.0" encoding="utf-8"?>
<sst xmlns="http://schemas.openxmlformats.org/spreadsheetml/2006/main" count="422" uniqueCount="268">
  <si>
    <t>מספר הדירות</t>
  </si>
  <si>
    <t>סה"כ</t>
  </si>
  <si>
    <t>בקרה:</t>
  </si>
  <si>
    <t>סוג הדירות</t>
  </si>
  <si>
    <t>שטח עילי</t>
  </si>
  <si>
    <t>מספר יח"ד</t>
  </si>
  <si>
    <t>שטח עיקרי ליח"ד (מ"ר)</t>
  </si>
  <si>
    <t>שטח ממ"ד ליח"ד (מ"ר)</t>
  </si>
  <si>
    <t>שטח פלדלת ליח"ד (מ"ר)</t>
  </si>
  <si>
    <t>שטח מרפסת פתוחה ליח"ד (מ"ר)</t>
  </si>
  <si>
    <t>סה"כ עיקרי (מ"ר)</t>
  </si>
  <si>
    <t>סה"כ פלדלת (מ"ר)</t>
  </si>
  <si>
    <t>סה"כ ברוטו עילי ללא מרפסות (מ"ר)</t>
  </si>
  <si>
    <t>סה"כ מרפסות פתוחות (מ"ר)</t>
  </si>
  <si>
    <t>סה"כ מרפסות גג (מ"ר)</t>
  </si>
  <si>
    <t>דירות שנמסרות לדיירי המתחם</t>
  </si>
  <si>
    <t>סה"כ דירות שנמסרות לדיירי המתחם</t>
  </si>
  <si>
    <t>דירות לשיווק היזם</t>
  </si>
  <si>
    <t>סה"כ דירות  היזם</t>
  </si>
  <si>
    <t>ממוצעים לדירות היזם</t>
  </si>
  <si>
    <t>סה"כ הפרויקט</t>
  </si>
  <si>
    <t>ממוצעים לפרויקט</t>
  </si>
  <si>
    <t>שטח במרתפים</t>
  </si>
  <si>
    <t>מספר מקומות חניה</t>
  </si>
  <si>
    <t>חניון תת קרקעי (מ"ר)</t>
  </si>
  <si>
    <t>תחשיבים</t>
  </si>
  <si>
    <t>שטח פלדלת  ליח"ד (מ"ר)</t>
  </si>
  <si>
    <t>מרפסת גג ליח"ד (מ"ר)</t>
  </si>
  <si>
    <t>סך שטח פלדלת (מ"ר)</t>
  </si>
  <si>
    <t>סה"כ (אלפי ₪)</t>
  </si>
  <si>
    <t>מחיר ליח"ד ממוצעת (ש"ח)</t>
  </si>
  <si>
    <t>סה"כ לא כולל מע"מ</t>
  </si>
  <si>
    <t>בניה ישירה</t>
  </si>
  <si>
    <t>שטח עילי ללא מרפסות וללא מרפסות גג</t>
  </si>
  <si>
    <t>מרפסות פתוחות</t>
  </si>
  <si>
    <t>מרפסות גג</t>
  </si>
  <si>
    <t>מרתף- חניות</t>
  </si>
  <si>
    <t>סה"כ עלות בניה ישירה</t>
  </si>
  <si>
    <t>עלויות עקיפות</t>
  </si>
  <si>
    <t>אגרות והיטלי פיתוח</t>
  </si>
  <si>
    <t>מרתפים</t>
  </si>
  <si>
    <t>סה"כ אגרות והיטלי פיתוח</t>
  </si>
  <si>
    <t>חיבור חשמל</t>
  </si>
  <si>
    <t>שיווק ופרסום</t>
  </si>
  <si>
    <t>תקורה, פיקוח ומשפטיות</t>
  </si>
  <si>
    <t>ב.צ.מ</t>
  </si>
  <si>
    <t>סה"כ עלויות עקיפות</t>
  </si>
  <si>
    <t xml:space="preserve">סך עלויות דירות יזם </t>
  </si>
  <si>
    <t>עלויות פינוי בינוי</t>
  </si>
  <si>
    <t>שטח עילי - זיכוי (אומדן)</t>
  </si>
  <si>
    <t>מע"מ שרותי בנייה</t>
  </si>
  <si>
    <t>מעלות בניה ישירה</t>
  </si>
  <si>
    <t>סה"כ לפני מס רכישה</t>
  </si>
  <si>
    <t>מס רכישה</t>
  </si>
  <si>
    <t>סה"כ עלויות פינוי בינוי</t>
  </si>
  <si>
    <t>סיכום עלויות הפרויקט</t>
  </si>
  <si>
    <t xml:space="preserve">אלפי ש"ח </t>
  </si>
  <si>
    <t>עלות דירות היזם</t>
  </si>
  <si>
    <t>עלות פינוי בינוי</t>
  </si>
  <si>
    <t>סה"כ עלות הפרויקט</t>
  </si>
  <si>
    <t>סיכום תחשיבים</t>
  </si>
  <si>
    <t>סה"כ דירות בפרויקט</t>
  </si>
  <si>
    <t>היטל השבחה</t>
  </si>
  <si>
    <t>הנחה לפטור</t>
  </si>
  <si>
    <t>שיעור הרוח, % מעלויות</t>
  </si>
  <si>
    <t>שיעור הרווח, % ממכירות</t>
  </si>
  <si>
    <t>יחס פינוי בינוי</t>
  </si>
  <si>
    <t>עלות מימון וערבויות</t>
  </si>
  <si>
    <t>סה"כ מטלות ציבוריות</t>
  </si>
  <si>
    <t>דירות 4 חדרים</t>
  </si>
  <si>
    <t>מס שבח בגין מכירת זכויות הבניה</t>
  </si>
  <si>
    <t>שטח פלדלת (מ"ר)</t>
  </si>
  <si>
    <t>דירות מיוחדות</t>
  </si>
  <si>
    <t>דירות שיימסרו ללא תמורה</t>
  </si>
  <si>
    <t>פרוגראמה מפורטת</t>
  </si>
  <si>
    <t>טיפוס</t>
  </si>
  <si>
    <t>B</t>
  </si>
  <si>
    <t>D</t>
  </si>
  <si>
    <t>ממוצעים לדיירים</t>
  </si>
  <si>
    <t>יחס:</t>
  </si>
  <si>
    <t>ממוצע</t>
  </si>
  <si>
    <t>עלויות ייזום</t>
  </si>
  <si>
    <t>סה"כ עלות ייזום</t>
  </si>
  <si>
    <t>תכנון ויועצים לאחר אישור התב"ע</t>
  </si>
  <si>
    <t>עמלת ערבות חוק מכר</t>
  </si>
  <si>
    <t>עמלת ערבות חוק מכר לדיירי המתחם בגין דירה חדשה ודמ"ש</t>
  </si>
  <si>
    <t>שטח עיקרי (מ"ר)</t>
  </si>
  <si>
    <t>שטח עילי כולל מרפסות</t>
  </si>
  <si>
    <t>תכנון ויועצים לאחר אישור תכנית</t>
  </si>
  <si>
    <t>אגרות והיטלים - שטח עילי</t>
  </si>
  <si>
    <t>אגרות והיטלים - שטח במרתפים</t>
  </si>
  <si>
    <t>שכ"ד בתקופת הבניה לחודש</t>
  </si>
  <si>
    <t>תקופת הבנייה (בחודשים)</t>
  </si>
  <si>
    <t>תקופת האחזקה (שנים)</t>
  </si>
  <si>
    <t>דמי אחזקה לחודש</t>
  </si>
  <si>
    <t>למ"ר</t>
  </si>
  <si>
    <t>ליח"ד</t>
  </si>
  <si>
    <t>מעלויות בנייה ישירה</t>
  </si>
  <si>
    <t>מע"מ שרותי בנייה שאינו ניתן לקיזוז</t>
  </si>
  <si>
    <t>מהתמורה לדיירי המתחם</t>
  </si>
  <si>
    <t>שכ"ד לדיור חלופי בתקופת הבניה</t>
  </si>
  <si>
    <t>סיכום : שיעור הרווח מהעלויות</t>
  </si>
  <si>
    <t>מספר יח"ד בפרויקט</t>
  </si>
  <si>
    <t>למ"ר פלדלת</t>
  </si>
  <si>
    <t>פרוגראמה כללית למגורים</t>
  </si>
  <si>
    <t>עלות יזום: אישור תב"ע והחתמת דיירים</t>
  </si>
  <si>
    <t>יח"ד לפינוי</t>
  </si>
  <si>
    <t>יחס פינוי-בינוי</t>
  </si>
  <si>
    <t>סיכום</t>
  </si>
  <si>
    <t>סך עלויות בניה ישירה</t>
  </si>
  <si>
    <t>שיעור עלויות תכנון ויועצים מבניה ישירה</t>
  </si>
  <si>
    <t>תכנון ויועצים ליח"ד כולל תכנון תב"ע</t>
  </si>
  <si>
    <t>פיתוח חצר</t>
  </si>
  <si>
    <t>הריסה ופינוי</t>
  </si>
  <si>
    <t>שטחי שירות לא סחירים</t>
  </si>
  <si>
    <t>מספר בניינים</t>
  </si>
  <si>
    <t>מספר דירות</t>
  </si>
  <si>
    <t>מספר דירות בבניין</t>
  </si>
  <si>
    <t>חלק היזם בשטחי פלדלת</t>
  </si>
  <si>
    <t>חלק הבעלים בשטחי פלדלת</t>
  </si>
  <si>
    <t>לכל הבניינים (מ"ר)</t>
  </si>
  <si>
    <t>לחלק היזם (מ"ר)</t>
  </si>
  <si>
    <t>לחלק הבעלים (מ"ר)</t>
  </si>
  <si>
    <t>לא הובא בחשבון</t>
  </si>
  <si>
    <t>מחיר הדירה (ש"ח)</t>
  </si>
  <si>
    <t>מעלות הקמה כוללת</t>
  </si>
  <si>
    <t>ריבית</t>
  </si>
  <si>
    <t>עמלת ליווי</t>
  </si>
  <si>
    <t>ריבית לליווי בנקאי</t>
  </si>
  <si>
    <t>כמות</t>
  </si>
  <si>
    <t>יחידה</t>
  </si>
  <si>
    <t>מ"ר</t>
  </si>
  <si>
    <t>יח"ד</t>
  </si>
  <si>
    <t>עמלת ליווי פיננסי</t>
  </si>
  <si>
    <t>עמלת ערבות חוק מכר לרוכשים</t>
  </si>
  <si>
    <t>מסה"כ עלות הפרויקט</t>
  </si>
  <si>
    <t>תקופת הבניה (שנים)</t>
  </si>
  <si>
    <t>עמלת ערבות חוק מכר לדיירי המתחם בגין דירה חדשה</t>
  </si>
  <si>
    <t>עלות הפרויקט:</t>
  </si>
  <si>
    <t>שווי דירות היזם כולל מע"מ:</t>
  </si>
  <si>
    <t>שווי דירות הדיירים כולל מע"מ:</t>
  </si>
  <si>
    <t>דמ"ש לדיירים:</t>
  </si>
  <si>
    <t>משווי דירות היזם, למחצית מתקופת השיווק</t>
  </si>
  <si>
    <t>החלק היחסי</t>
  </si>
  <si>
    <t>תקופת הערבות לדיירים (שנים)</t>
  </si>
  <si>
    <t>עלות ליחידה (ש"ח)</t>
  </si>
  <si>
    <t>סה"כ תקבולים באלפי ש"ח (ללא מע"מ)</t>
  </si>
  <si>
    <t>סה"כ עלויות הקמה באלפי ש"ח (ללא מע"מ)</t>
  </si>
  <si>
    <t>רווח באלפי ש"ח</t>
  </si>
  <si>
    <t>בדיקת שטחים</t>
  </si>
  <si>
    <t>פרוגרמה</t>
  </si>
  <si>
    <t>שטח רכוש משותף (כניסה, מעברים, טכני) ליח"ד</t>
  </si>
  <si>
    <t>הפרש</t>
  </si>
  <si>
    <t>אדריכלות</t>
  </si>
  <si>
    <t>יועצים</t>
  </si>
  <si>
    <t>עו"ד דיירים</t>
  </si>
  <si>
    <t>עו"ד יזם והוצאות נוספות: כנסים, חומר שיווקי וכו'</t>
  </si>
  <si>
    <t>תקבולים</t>
  </si>
  <si>
    <t>מפתח- לתקבולים</t>
  </si>
  <si>
    <t>דירות</t>
  </si>
  <si>
    <t>שטח מסחרי</t>
  </si>
  <si>
    <t>מפתח עלויות</t>
  </si>
  <si>
    <t>חיבור חשמל - מסחרי</t>
  </si>
  <si>
    <t>סה"כ מימון</t>
  </si>
  <si>
    <t>תכנון ויועצים - שטח מסחרי</t>
  </si>
  <si>
    <t>ל - 50% מעלות הפרויקט (בהתאם להתקדמות הבנייה), ולפי מקדם 50% בגין תזרים הכנסות, לתקופת הבנייה</t>
  </si>
  <si>
    <t>בקומת קרקע</t>
  </si>
  <si>
    <t>בקומה עליונה</t>
  </si>
  <si>
    <t>סה"כ תקבולים לא כולל מע"מ</t>
  </si>
  <si>
    <t>חודשים</t>
  </si>
  <si>
    <t>בדיקה-עלויות תכנון ויועצים</t>
  </si>
  <si>
    <t>סך עלויות תכנון ויועצים</t>
  </si>
  <si>
    <t>שווי מ"ר פלדלת  - על בסיס הערכת היזם (₪)</t>
  </si>
  <si>
    <t>שטח (מ"ר)</t>
  </si>
  <si>
    <t>מספר קומות לתחשיב</t>
  </si>
  <si>
    <t>משווי דירות הדיירים לתקופת הבניה</t>
  </si>
  <si>
    <t>מעלות דמ"ש לתקופת לתקופת הבנייה</t>
  </si>
  <si>
    <t>טיפוסים שונים</t>
  </si>
  <si>
    <t>יחס שטחים פינוי-בינוי</t>
  </si>
  <si>
    <t>דירות 4-4.5 חדרים</t>
  </si>
  <si>
    <t>תוספת</t>
  </si>
  <si>
    <t>תחשיב שווי זכויות הבנייה שהיזם רכש - לצורך תחשיב מס רכישה</t>
  </si>
  <si>
    <t>שווי דירות היזם כולל מע"מ</t>
  </si>
  <si>
    <t>שווי דירות היזם לא כולל מע"מ</t>
  </si>
  <si>
    <t>רווח יזמי מבוקש</t>
  </si>
  <si>
    <t>שווי בניכוי רווח יזמי</t>
  </si>
  <si>
    <t>אלפי ש"ח</t>
  </si>
  <si>
    <t>עלות בניה</t>
  </si>
  <si>
    <t>שווי זכויות הבנייה</t>
  </si>
  <si>
    <t>שיעור מס רכישה</t>
  </si>
  <si>
    <t>מספר המשפחות שצריכות דיור חלופי</t>
  </si>
  <si>
    <t>הובלות</t>
  </si>
  <si>
    <t>עלות הובלה- כיוון אחד</t>
  </si>
  <si>
    <t>שווי כולל מע"מ (ש"ח)</t>
  </si>
  <si>
    <t>שטח ממוצע ליח"ד</t>
  </si>
  <si>
    <t>מתקבולים כולל מע"מ</t>
  </si>
  <si>
    <t>מסך התמורה לדיירים</t>
  </si>
  <si>
    <t>מסך התמורה לדיירים החייבת במע"מ</t>
  </si>
  <si>
    <t>מסך המכירות כולל מע"מ לשנה וחצי</t>
  </si>
  <si>
    <t>מסך התמורה לדיירים לשלש שנים</t>
  </si>
  <si>
    <t>הובלה אחת</t>
  </si>
  <si>
    <t>הובלה כפולה</t>
  </si>
  <si>
    <t>שטח מרפסת גג/חצר  ליח"ד (מ"ר)</t>
  </si>
  <si>
    <t>דירות מיוחדות - פנטהאוסים ודירות גן</t>
  </si>
  <si>
    <t>נכלל ברווח היזמי</t>
  </si>
  <si>
    <t>שטח ממוצע למקום חניה  כולל מחסנים (מ"ר)</t>
  </si>
  <si>
    <t>חניות אורחים לפי 20% ממספר הדירות</t>
  </si>
  <si>
    <t>מספר דירות לפינוי</t>
  </si>
  <si>
    <t>סה"כ שטח דירת תמורה בממוצע</t>
  </si>
  <si>
    <t>סה"כ שטח לפינוי</t>
  </si>
  <si>
    <t>פרוגרמה למסחר</t>
  </si>
  <si>
    <t>למסירה לבעלים</t>
  </si>
  <si>
    <t>לשיווק היזם</t>
  </si>
  <si>
    <t>עלויות - שטחי יזם</t>
  </si>
  <si>
    <t>למ"ר עיקרי</t>
  </si>
  <si>
    <t>שטח פלדלת של היח"ד (מ"ר)</t>
  </si>
  <si>
    <t>הקמת מבני ציבור</t>
  </si>
  <si>
    <t>תשלום דמי שכירות בגין מבני הציבור</t>
  </si>
  <si>
    <t>הקמת מבני ציבור חלופיים</t>
  </si>
  <si>
    <t>שווי קרקע ליח"ד</t>
  </si>
  <si>
    <t>שווי דירת יזם ממוצעת</t>
  </si>
  <si>
    <t>שווי דירת יזם ממוצעת, ללא מע"מ</t>
  </si>
  <si>
    <t>שיעור רווו יזמי</t>
  </si>
  <si>
    <t>עלות הקמה</t>
  </si>
  <si>
    <t>שווי קרקע למ"ר פלדלת</t>
  </si>
  <si>
    <t>שווי קרקע למ"ר עיקרי</t>
  </si>
  <si>
    <t>מספר קומות טיפוסיות</t>
  </si>
  <si>
    <t>קומת לובי</t>
  </si>
  <si>
    <t>מספר קומות לדירות מיוחדות</t>
  </si>
  <si>
    <t>קומות טכניות עליונות</t>
  </si>
  <si>
    <t>מספר קומות מגורים בבניין</t>
  </si>
  <si>
    <t>קומת קרקע - לובי, מועדון, טכני, וכו'</t>
  </si>
  <si>
    <t>שטחי מסחר - עילי</t>
  </si>
  <si>
    <t>שטח מסחרי - קומת קרקע</t>
  </si>
  <si>
    <t>שטח מסחרי - קומה עליונה</t>
  </si>
  <si>
    <t>חניות לשטח מסחרי</t>
  </si>
  <si>
    <t>עמלת ערבות לדיירי המתחם בגין דמ"ש</t>
  </si>
  <si>
    <t>מספר דירות בקומה טיפוסית</t>
  </si>
  <si>
    <t>גרעין בקומות מגורים - שטח לרישוי</t>
  </si>
  <si>
    <t>למ"ר, לפי שמאית התכנית</t>
  </si>
  <si>
    <t>מהמכירות</t>
  </si>
  <si>
    <t>סה"כ כולל מע"מ 17%</t>
  </si>
  <si>
    <t>מטלה ציבורית</t>
  </si>
  <si>
    <t>דירות להשכרה</t>
  </si>
  <si>
    <t>דירות שיימסרו לדיירי המתחם</t>
  </si>
  <si>
    <t>דמי יזמות עבור החזר ההשקעה שנדרשה לאישור התב"ע + סיכון (במכירת הפרויקט ליזם אחר או בכניסה לשותפות)</t>
  </si>
  <si>
    <t>מספר דירות "מיוחדות"</t>
  </si>
  <si>
    <t>מספר דירות "רגילות" לשיווק</t>
  </si>
  <si>
    <t>מספר חניות לדירה לפי תכנית 5166ב</t>
  </si>
  <si>
    <t xml:space="preserve">דמי היתר </t>
  </si>
  <si>
    <t>פרטי המקרקעין</t>
  </si>
  <si>
    <t>כתובת</t>
  </si>
  <si>
    <t>שם היזם</t>
  </si>
  <si>
    <t>שם האדריכל</t>
  </si>
  <si>
    <t>שטח המתחם</t>
  </si>
  <si>
    <t>מס' יח"ד קיימות</t>
  </si>
  <si>
    <t>שם השמאי</t>
  </si>
  <si>
    <t>שטח יח"ד</t>
  </si>
  <si>
    <t>שטח יח"ד עפ"י היתר</t>
  </si>
  <si>
    <t>מס' יח"ד</t>
  </si>
  <si>
    <t>זכויות בניה נוספות לשטח עיקרי ככל וקיימות</t>
  </si>
  <si>
    <t>שטח קיים ממוצע</t>
  </si>
  <si>
    <t>שם הפרוייקט</t>
  </si>
  <si>
    <t>גושים</t>
  </si>
  <si>
    <t>חלקות</t>
  </si>
  <si>
    <t>שנת בנייה</t>
  </si>
  <si>
    <t>צפיפות בפועל</t>
  </si>
  <si>
    <t>מס' קומות מעל הקרקע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</si>
</sst>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 * #,##0.00_ ;_ * \-#,##0.00_ ;_ * &quot;-&quot;??_ ;_ @_ "/>
    <numFmt numFmtId="164" formatCode="_(* #,##0_);_(* \(#,##0\);_(* &quot;-&quot;_);_(@_)"/>
    <numFmt numFmtId="165" formatCode="_(* #,##0.00_);_(* \(#,##0.00\);_(* &quot;-&quot;??_);_(@_)"/>
    <numFmt numFmtId="166" formatCode="#,##0.0"/>
    <numFmt numFmtId="167" formatCode="_ * #,##0_ ;_ * \-#,##0_ ;_ * &quot;-&quot;??_ ;_ @_ "/>
    <numFmt numFmtId="168" formatCode="0.0%"/>
    <numFmt numFmtId="169" formatCode="[$₪-40D]\ #,##0"/>
    <numFmt numFmtId="170" formatCode="0.0"/>
  </numFmts>
  <fonts count="21" x14ac:knownFonts="1">
    <font>
      <sz val="11"/>
      <color theme="1"/>
      <name val="Arial"/>
      <family val="2"/>
      <charset val="177"/>
      <scheme val="minor"/>
    </font>
    <font>
      <sz val="12"/>
      <name val="David"/>
      <family val="2"/>
      <charset val="177"/>
    </font>
    <font>
      <b/>
      <sz val="12"/>
      <name val="David"/>
      <family val="2"/>
      <charset val="177"/>
    </font>
    <font>
      <b/>
      <u/>
      <sz val="12"/>
      <name val="David"/>
      <family val="2"/>
      <charset val="177"/>
    </font>
    <font>
      <u/>
      <sz val="12"/>
      <name val="David"/>
      <family val="2"/>
      <charset val="177"/>
    </font>
    <font>
      <i/>
      <sz val="12"/>
      <name val="David"/>
      <family val="2"/>
      <charset val="177"/>
    </font>
    <font>
      <b/>
      <u val="singleAccounting"/>
      <sz val="12"/>
      <name val="David"/>
      <family val="2"/>
      <charset val="177"/>
    </font>
    <font>
      <b/>
      <sz val="11"/>
      <name val="David"/>
      <family val="2"/>
      <charset val="177"/>
    </font>
    <font>
      <sz val="11"/>
      <name val="David"/>
      <family val="2"/>
      <charset val="177"/>
    </font>
    <font>
      <b/>
      <u/>
      <sz val="14"/>
      <name val="David"/>
      <family val="2"/>
      <charset val="177"/>
    </font>
    <font>
      <b/>
      <u/>
      <sz val="16"/>
      <name val="David"/>
      <family val="2"/>
      <charset val="177"/>
    </font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scheme val="minor"/>
    </font>
    <font>
      <sz val="12"/>
      <color theme="1"/>
      <name val="David"/>
      <family val="2"/>
      <charset val="177"/>
    </font>
    <font>
      <b/>
      <sz val="12"/>
      <color theme="1"/>
      <name val="David"/>
      <family val="2"/>
      <charset val="177"/>
    </font>
    <font>
      <b/>
      <u/>
      <sz val="12"/>
      <color theme="1"/>
      <name val="David"/>
      <family val="2"/>
      <charset val="177"/>
    </font>
    <font>
      <i/>
      <sz val="12"/>
      <color theme="1"/>
      <name val="David"/>
      <family val="2"/>
      <charset val="177"/>
    </font>
    <font>
      <u/>
      <sz val="12"/>
      <color theme="1"/>
      <name val="David"/>
      <family val="2"/>
      <charset val="177"/>
    </font>
    <font>
      <sz val="12"/>
      <color rgb="FFFF0000"/>
      <name val="David"/>
      <family val="2"/>
      <charset val="177"/>
    </font>
    <font>
      <b/>
      <sz val="11"/>
      <color theme="1"/>
      <name val="Arial"/>
      <family val="2"/>
      <charset val="177"/>
      <scheme val="minor"/>
    </font>
    <font>
      <b/>
      <u/>
      <sz val="11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11" fillId="0" borderId="0" applyFont="0" applyFill="0" applyBorder="0" applyAlignment="0" applyProtection="0"/>
    <xf numFmtId="0" fontId="12" fillId="0" borderId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38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 readingOrder="2"/>
    </xf>
    <xf numFmtId="0" fontId="1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 readingOrder="2"/>
    </xf>
    <xf numFmtId="1" fontId="2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right" vertical="center"/>
    </xf>
    <xf numFmtId="0" fontId="2" fillId="0" borderId="15" xfId="0" applyFont="1" applyFill="1" applyBorder="1" applyAlignment="1">
      <alignment horizontal="centerContinuous" vertical="center"/>
    </xf>
    <xf numFmtId="0" fontId="2" fillId="0" borderId="16" xfId="0" applyFont="1" applyFill="1" applyBorder="1" applyAlignment="1">
      <alignment horizontal="centerContinuous" vertical="center"/>
    </xf>
    <xf numFmtId="0" fontId="3" fillId="0" borderId="17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18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vertical="center" wrapText="1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1" fillId="0" borderId="17" xfId="0" applyFont="1" applyFill="1" applyBorder="1" applyAlignment="1">
      <alignment vertical="center" wrapText="1"/>
    </xf>
    <xf numFmtId="3" fontId="1" fillId="0" borderId="7" xfId="0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 wrapText="1"/>
    </xf>
    <xf numFmtId="3" fontId="2" fillId="0" borderId="2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vertical="center"/>
    </xf>
    <xf numFmtId="0" fontId="2" fillId="0" borderId="21" xfId="0" applyFont="1" applyFill="1" applyBorder="1" applyAlignment="1">
      <alignment horizontal="right" vertical="center" wrapText="1"/>
    </xf>
    <xf numFmtId="3" fontId="2" fillId="0" borderId="3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/>
    </xf>
    <xf numFmtId="1" fontId="2" fillId="0" borderId="23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 wrapText="1"/>
    </xf>
    <xf numFmtId="3" fontId="1" fillId="0" borderId="24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3" fontId="1" fillId="0" borderId="0" xfId="0" applyNumberFormat="1" applyFont="1" applyFill="1" applyBorder="1" applyAlignment="1">
      <alignment horizontal="center" vertical="center" readingOrder="2"/>
    </xf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right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2" fillId="0" borderId="27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2" fillId="0" borderId="28" xfId="0" applyFont="1" applyFill="1" applyBorder="1" applyAlignment="1">
      <alignment horizontal="right" vertical="center"/>
    </xf>
    <xf numFmtId="3" fontId="1" fillId="0" borderId="12" xfId="0" applyNumberFormat="1" applyFont="1" applyFill="1" applyBorder="1" applyAlignment="1">
      <alignment horizontal="center" vertical="center" wrapText="1" readingOrder="2"/>
    </xf>
    <xf numFmtId="0" fontId="2" fillId="0" borderId="6" xfId="0" applyFont="1" applyFill="1" applyBorder="1" applyAlignment="1">
      <alignment horizontal="right" vertical="center" wrapText="1"/>
    </xf>
    <xf numFmtId="3" fontId="2" fillId="0" borderId="12" xfId="0" applyNumberFormat="1" applyFont="1" applyFill="1" applyBorder="1" applyAlignment="1">
      <alignment horizontal="center" vertical="center" wrapText="1" readingOrder="2"/>
    </xf>
    <xf numFmtId="0" fontId="2" fillId="0" borderId="29" xfId="0" applyFont="1" applyFill="1" applyBorder="1" applyAlignment="1">
      <alignment horizontal="right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9" fontId="1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right" vertical="center" wrapText="1" readingOrder="2"/>
    </xf>
    <xf numFmtId="0" fontId="2" fillId="0" borderId="29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3" fontId="2" fillId="0" borderId="3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 wrapText="1" readingOrder="2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168" fontId="1" fillId="0" borderId="7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3" fontId="8" fillId="0" borderId="7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167" fontId="1" fillId="0" borderId="7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3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3" fontId="1" fillId="0" borderId="16" xfId="0" applyNumberFormat="1" applyFont="1" applyFill="1" applyBorder="1" applyAlignment="1">
      <alignment horizontal="center" vertical="center" readingOrder="2"/>
    </xf>
    <xf numFmtId="0" fontId="1" fillId="0" borderId="31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9" fontId="1" fillId="0" borderId="0" xfId="0" applyNumberFormat="1" applyFont="1" applyFill="1" applyAlignment="1">
      <alignment horizontal="center" vertical="center"/>
    </xf>
    <xf numFmtId="3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9" fontId="8" fillId="0" borderId="0" xfId="0" applyNumberFormat="1" applyFont="1" applyFill="1" applyAlignment="1">
      <alignment horizontal="center" vertical="center"/>
    </xf>
    <xf numFmtId="0" fontId="1" fillId="0" borderId="7" xfId="0" applyFont="1" applyFill="1" applyBorder="1" applyAlignment="1">
      <alignment horizontal="center" vertical="center" readingOrder="2"/>
    </xf>
    <xf numFmtId="3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readingOrder="2"/>
    </xf>
    <xf numFmtId="0" fontId="1" fillId="0" borderId="3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/>
    </xf>
    <xf numFmtId="9" fontId="1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readingOrder="2"/>
    </xf>
    <xf numFmtId="0" fontId="2" fillId="0" borderId="32" xfId="0" applyFont="1" applyFill="1" applyBorder="1" applyAlignment="1">
      <alignment horizontal="center" vertical="center" readingOrder="2"/>
    </xf>
    <xf numFmtId="0" fontId="1" fillId="0" borderId="0" xfId="0" applyFont="1" applyFill="1" applyBorder="1" applyAlignment="1">
      <alignment horizontal="center" vertical="center" readingOrder="2"/>
    </xf>
    <xf numFmtId="3" fontId="1" fillId="0" borderId="7" xfId="0" applyNumberFormat="1" applyFont="1" applyFill="1" applyBorder="1" applyAlignment="1">
      <alignment horizontal="center" vertical="center" readingOrder="2"/>
    </xf>
    <xf numFmtId="9" fontId="1" fillId="0" borderId="7" xfId="0" applyNumberFormat="1" applyFont="1" applyFill="1" applyBorder="1" applyAlignment="1">
      <alignment horizontal="center" vertical="center" readingOrder="2"/>
    </xf>
    <xf numFmtId="0" fontId="2" fillId="0" borderId="0" xfId="0" applyFont="1" applyFill="1" applyBorder="1" applyAlignment="1">
      <alignment horizontal="center" vertical="center" readingOrder="2"/>
    </xf>
    <xf numFmtId="0" fontId="1" fillId="0" borderId="3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right" vertical="center" wrapText="1"/>
    </xf>
    <xf numFmtId="3" fontId="2" fillId="0" borderId="7" xfId="0" applyNumberFormat="1" applyFont="1" applyFill="1" applyBorder="1" applyAlignment="1">
      <alignment horizontal="right" vertical="center"/>
    </xf>
    <xf numFmtId="3" fontId="4" fillId="0" borderId="7" xfId="0" applyNumberFormat="1" applyFont="1" applyFill="1" applyBorder="1" applyAlignment="1">
      <alignment horizontal="right" vertical="center"/>
    </xf>
    <xf numFmtId="3" fontId="2" fillId="0" borderId="3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 wrapText="1" readingOrder="2"/>
    </xf>
    <xf numFmtId="0" fontId="1" fillId="0" borderId="7" xfId="0" applyFont="1" applyFill="1" applyBorder="1" applyAlignment="1">
      <alignment horizontal="right" vertical="center" wrapText="1"/>
    </xf>
    <xf numFmtId="0" fontId="1" fillId="0" borderId="11" xfId="0" applyFont="1" applyFill="1" applyBorder="1" applyAlignment="1">
      <alignment horizontal="right" vertical="center" wrapText="1"/>
    </xf>
    <xf numFmtId="3" fontId="2" fillId="0" borderId="5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3" fillId="0" borderId="7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 readingOrder="2"/>
    </xf>
    <xf numFmtId="166" fontId="5" fillId="0" borderId="0" xfId="0" applyNumberFormat="1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 readingOrder="2"/>
    </xf>
    <xf numFmtId="3" fontId="2" fillId="0" borderId="35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 readingOrder="2"/>
    </xf>
    <xf numFmtId="166" fontId="1" fillId="0" borderId="35" xfId="0" applyNumberFormat="1" applyFont="1" applyFill="1" applyBorder="1" applyAlignment="1">
      <alignment horizontal="center" vertical="center" wrapText="1"/>
    </xf>
    <xf numFmtId="166" fontId="1" fillId="0" borderId="7" xfId="0" applyNumberFormat="1" applyFont="1" applyFill="1" applyBorder="1" applyAlignment="1">
      <alignment horizontal="center" vertical="center" readingOrder="2"/>
    </xf>
    <xf numFmtId="166" fontId="4" fillId="0" borderId="7" xfId="0" applyNumberFormat="1" applyFont="1" applyFill="1" applyBorder="1" applyAlignment="1">
      <alignment horizontal="center" vertical="center" readingOrder="2"/>
    </xf>
    <xf numFmtId="3" fontId="2" fillId="0" borderId="36" xfId="0" applyNumberFormat="1" applyFont="1" applyFill="1" applyBorder="1" applyAlignment="1">
      <alignment horizontal="center" vertical="center"/>
    </xf>
    <xf numFmtId="166" fontId="2" fillId="0" borderId="7" xfId="0" applyNumberFormat="1" applyFont="1" applyFill="1" applyBorder="1" applyAlignment="1">
      <alignment horizontal="center" vertical="center" readingOrder="2"/>
    </xf>
    <xf numFmtId="3" fontId="1" fillId="0" borderId="36" xfId="0" applyNumberFormat="1" applyFont="1" applyFill="1" applyBorder="1" applyAlignment="1">
      <alignment horizontal="center" vertical="center"/>
    </xf>
    <xf numFmtId="166" fontId="4" fillId="0" borderId="36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 readingOrder="2"/>
    </xf>
    <xf numFmtId="3" fontId="2" fillId="0" borderId="21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 readingOrder="2"/>
    </xf>
    <xf numFmtId="3" fontId="1" fillId="0" borderId="22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166" fontId="1" fillId="0" borderId="7" xfId="0" applyNumberFormat="1" applyFont="1" applyFill="1" applyBorder="1" applyAlignment="1">
      <alignment horizontal="center" vertical="center" wrapText="1"/>
    </xf>
    <xf numFmtId="3" fontId="1" fillId="0" borderId="36" xfId="0" applyNumberFormat="1" applyFont="1" applyFill="1" applyBorder="1" applyAlignment="1">
      <alignment horizontal="center" vertical="center" wrapText="1"/>
    </xf>
    <xf numFmtId="3" fontId="2" fillId="0" borderId="3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 readingOrder="2"/>
    </xf>
    <xf numFmtId="3" fontId="1" fillId="0" borderId="7" xfId="0" applyNumberFormat="1" applyFont="1" applyFill="1" applyBorder="1" applyAlignment="1">
      <alignment horizontal="center" vertical="center" wrapText="1" readingOrder="2"/>
    </xf>
    <xf numFmtId="3" fontId="1" fillId="0" borderId="32" xfId="0" applyNumberFormat="1" applyFont="1" applyFill="1" applyBorder="1" applyAlignment="1">
      <alignment horizontal="center" vertical="center" readingOrder="2"/>
    </xf>
    <xf numFmtId="3" fontId="2" fillId="0" borderId="32" xfId="0" applyNumberFormat="1" applyFont="1" applyFill="1" applyBorder="1" applyAlignment="1">
      <alignment horizontal="center" vertical="center" wrapText="1" readingOrder="2"/>
    </xf>
    <xf numFmtId="167" fontId="1" fillId="0" borderId="0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Alignment="1">
      <alignment horizontal="center" vertical="center"/>
    </xf>
    <xf numFmtId="167" fontId="1" fillId="0" borderId="7" xfId="1" applyNumberFormat="1" applyFont="1" applyFill="1" applyBorder="1" applyAlignment="1">
      <alignment horizontal="center" vertical="center"/>
    </xf>
    <xf numFmtId="167" fontId="2" fillId="0" borderId="7" xfId="0" applyNumberFormat="1" applyFont="1" applyFill="1" applyBorder="1" applyAlignment="1">
      <alignment horizontal="center" vertical="center"/>
    </xf>
    <xf numFmtId="167" fontId="2" fillId="0" borderId="32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167" fontId="1" fillId="0" borderId="11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9" fontId="1" fillId="0" borderId="0" xfId="3" applyFont="1" applyFill="1" applyBorder="1" applyAlignment="1">
      <alignment horizontal="center" vertical="center" readingOrder="2"/>
    </xf>
    <xf numFmtId="9" fontId="2" fillId="0" borderId="0" xfId="3" applyFont="1" applyFill="1" applyBorder="1" applyAlignment="1">
      <alignment horizontal="center" vertical="center" readingOrder="2"/>
    </xf>
    <xf numFmtId="0" fontId="2" fillId="0" borderId="14" xfId="0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horizontal="center" vertical="center"/>
    </xf>
    <xf numFmtId="169" fontId="1" fillId="0" borderId="7" xfId="0" applyNumberFormat="1" applyFont="1" applyFill="1" applyBorder="1" applyAlignment="1">
      <alignment horizontal="center" vertical="center"/>
    </xf>
    <xf numFmtId="3" fontId="13" fillId="0" borderId="7" xfId="0" applyNumberFormat="1" applyFont="1" applyFill="1" applyBorder="1" applyAlignment="1">
      <alignment horizontal="center" vertical="center"/>
    </xf>
    <xf numFmtId="4" fontId="2" fillId="0" borderId="25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 readingOrder="2"/>
    </xf>
    <xf numFmtId="0" fontId="1" fillId="0" borderId="0" xfId="0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vertical="center"/>
    </xf>
    <xf numFmtId="0" fontId="14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7" xfId="0" applyFont="1" applyFill="1" applyBorder="1" applyAlignment="1">
      <alignment vertical="center"/>
    </xf>
    <xf numFmtId="9" fontId="13" fillId="0" borderId="7" xfId="3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vertical="center"/>
    </xf>
    <xf numFmtId="0" fontId="14" fillId="0" borderId="7" xfId="0" applyFont="1" applyFill="1" applyBorder="1" applyAlignment="1">
      <alignment horizontal="center" vertical="center"/>
    </xf>
    <xf numFmtId="3" fontId="14" fillId="0" borderId="7" xfId="0" applyNumberFormat="1" applyFont="1" applyFill="1" applyBorder="1" applyAlignment="1">
      <alignment horizontal="center" vertical="center"/>
    </xf>
    <xf numFmtId="9" fontId="14" fillId="0" borderId="7" xfId="3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3" fontId="16" fillId="0" borderId="0" xfId="0" applyNumberFormat="1" applyFont="1" applyFill="1" applyAlignment="1">
      <alignment horizontal="center" vertical="center"/>
    </xf>
    <xf numFmtId="9" fontId="16" fillId="0" borderId="0" xfId="3" applyFont="1" applyFill="1" applyAlignment="1">
      <alignment horizontal="center" vertical="center"/>
    </xf>
    <xf numFmtId="0" fontId="17" fillId="0" borderId="7" xfId="0" applyFont="1" applyFill="1" applyBorder="1" applyAlignment="1">
      <alignment vertical="center"/>
    </xf>
    <xf numFmtId="3" fontId="17" fillId="0" borderId="7" xfId="0" applyNumberFormat="1" applyFont="1" applyFill="1" applyBorder="1" applyAlignment="1">
      <alignment horizontal="center" vertical="center"/>
    </xf>
    <xf numFmtId="9" fontId="14" fillId="0" borderId="7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4" fontId="1" fillId="0" borderId="36" xfId="0" applyNumberFormat="1" applyFont="1" applyFill="1" applyBorder="1" applyAlignment="1">
      <alignment horizontal="center" vertical="center" wrapText="1"/>
    </xf>
    <xf numFmtId="0" fontId="0" fillId="0" borderId="0" xfId="0" applyFill="1"/>
    <xf numFmtId="167" fontId="1" fillId="0" borderId="7" xfId="0" applyNumberFormat="1" applyFont="1" applyFill="1" applyBorder="1" applyAlignment="1">
      <alignment vertical="center"/>
    </xf>
    <xf numFmtId="167" fontId="1" fillId="0" borderId="32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0" fontId="1" fillId="0" borderId="7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 readingOrder="2"/>
    </xf>
    <xf numFmtId="9" fontId="1" fillId="0" borderId="7" xfId="3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right" vertical="center"/>
    </xf>
    <xf numFmtId="166" fontId="1" fillId="0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166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right" vertical="center"/>
    </xf>
    <xf numFmtId="0" fontId="18" fillId="0" borderId="7" xfId="0" applyFont="1" applyFill="1" applyBorder="1" applyAlignment="1">
      <alignment vertical="center" wrapText="1"/>
    </xf>
    <xf numFmtId="169" fontId="18" fillId="0" borderId="7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vertical="center"/>
    </xf>
    <xf numFmtId="1" fontId="1" fillId="0" borderId="0" xfId="0" applyNumberFormat="1" applyFont="1" applyFill="1" applyBorder="1" applyAlignment="1">
      <alignment horizontal="center" vertical="center"/>
    </xf>
    <xf numFmtId="169" fontId="2" fillId="0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1" xfId="0" applyFont="1" applyFill="1" applyBorder="1" applyAlignment="1">
      <alignment horizontal="right" vertical="center"/>
    </xf>
    <xf numFmtId="0" fontId="2" fillId="0" borderId="41" xfId="0" applyFont="1" applyFill="1" applyBorder="1" applyAlignment="1">
      <alignment vertical="center"/>
    </xf>
    <xf numFmtId="0" fontId="2" fillId="0" borderId="39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vertical="center"/>
    </xf>
    <xf numFmtId="0" fontId="1" fillId="0" borderId="39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4" fillId="0" borderId="39" xfId="0" applyFont="1" applyFill="1" applyBorder="1" applyAlignment="1">
      <alignment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vertical="center" wrapText="1"/>
    </xf>
    <xf numFmtId="168" fontId="1" fillId="0" borderId="43" xfId="0" applyNumberFormat="1" applyFont="1" applyFill="1" applyBorder="1" applyAlignment="1">
      <alignment horizontal="center" vertical="center"/>
    </xf>
    <xf numFmtId="164" fontId="1" fillId="0" borderId="44" xfId="0" applyNumberFormat="1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vertical="center"/>
    </xf>
    <xf numFmtId="0" fontId="7" fillId="0" borderId="12" xfId="0" applyFont="1" applyFill="1" applyBorder="1" applyAlignment="1">
      <alignment vertical="center" wrapText="1" readingOrder="2"/>
    </xf>
    <xf numFmtId="3" fontId="2" fillId="0" borderId="30" xfId="0" applyNumberFormat="1" applyFont="1" applyFill="1" applyBorder="1" applyAlignment="1">
      <alignment vertical="center"/>
    </xf>
    <xf numFmtId="0" fontId="1" fillId="0" borderId="45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 wrapText="1" readingOrder="2"/>
    </xf>
    <xf numFmtId="0" fontId="1" fillId="0" borderId="12" xfId="0" applyFont="1" applyFill="1" applyBorder="1" applyAlignment="1">
      <alignment vertical="center"/>
    </xf>
    <xf numFmtId="3" fontId="1" fillId="0" borderId="12" xfId="0" applyNumberFormat="1" applyFont="1" applyFill="1" applyBorder="1" applyAlignment="1">
      <alignment vertical="center"/>
    </xf>
    <xf numFmtId="3" fontId="2" fillId="0" borderId="12" xfId="0" applyNumberFormat="1" applyFont="1" applyFill="1" applyBorder="1" applyAlignment="1">
      <alignment vertical="center"/>
    </xf>
    <xf numFmtId="167" fontId="1" fillId="0" borderId="12" xfId="0" applyNumberFormat="1" applyFont="1" applyFill="1" applyBorder="1" applyAlignment="1">
      <alignment vertical="center"/>
    </xf>
    <xf numFmtId="3" fontId="4" fillId="0" borderId="12" xfId="0" applyNumberFormat="1" applyFont="1" applyFill="1" applyBorder="1" applyAlignment="1">
      <alignment vertical="center"/>
    </xf>
    <xf numFmtId="167" fontId="2" fillId="0" borderId="12" xfId="0" applyNumberFormat="1" applyFont="1" applyFill="1" applyBorder="1" applyAlignment="1">
      <alignment vertical="center"/>
    </xf>
    <xf numFmtId="167" fontId="2" fillId="0" borderId="30" xfId="0" applyNumberFormat="1" applyFont="1" applyFill="1" applyBorder="1" applyAlignment="1">
      <alignment vertical="center"/>
    </xf>
    <xf numFmtId="0" fontId="2" fillId="0" borderId="34" xfId="0" applyFont="1" applyFill="1" applyBorder="1" applyAlignment="1">
      <alignment vertical="center" wrapText="1" readingOrder="2"/>
    </xf>
    <xf numFmtId="167" fontId="1" fillId="0" borderId="12" xfId="0" applyNumberFormat="1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vertical="center" wrapText="1"/>
    </xf>
    <xf numFmtId="0" fontId="2" fillId="0" borderId="41" xfId="0" applyFont="1" applyFill="1" applyBorder="1" applyAlignment="1">
      <alignment vertical="center" wrapText="1"/>
    </xf>
    <xf numFmtId="164" fontId="2" fillId="0" borderId="32" xfId="0" applyNumberFormat="1" applyFont="1" applyFill="1" applyBorder="1" applyAlignment="1">
      <alignment horizontal="center" vertical="center"/>
    </xf>
    <xf numFmtId="168" fontId="2" fillId="0" borderId="34" xfId="3" applyNumberFormat="1" applyFont="1" applyFill="1" applyBorder="1" applyAlignment="1">
      <alignment horizontal="center" vertical="center" readingOrder="2"/>
    </xf>
    <xf numFmtId="0" fontId="1" fillId="0" borderId="29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9" xfId="0" applyFont="1" applyFill="1" applyBorder="1" applyAlignment="1">
      <alignment horizontal="left" vertical="center" wrapText="1"/>
    </xf>
    <xf numFmtId="1" fontId="14" fillId="0" borderId="7" xfId="0" applyNumberFormat="1" applyFont="1" applyFill="1" applyBorder="1" applyAlignment="1">
      <alignment horizontal="center" vertical="center"/>
    </xf>
    <xf numFmtId="10" fontId="1" fillId="0" borderId="12" xfId="0" applyNumberFormat="1" applyFont="1" applyFill="1" applyBorder="1" applyAlignment="1">
      <alignment vertical="center"/>
    </xf>
    <xf numFmtId="2" fontId="1" fillId="0" borderId="12" xfId="0" applyNumberFormat="1" applyFont="1" applyFill="1" applyBorder="1" applyAlignment="1">
      <alignment vertical="center"/>
    </xf>
    <xf numFmtId="2" fontId="1" fillId="0" borderId="30" xfId="0" applyNumberFormat="1" applyFont="1" applyFill="1" applyBorder="1" applyAlignment="1">
      <alignment vertical="center"/>
    </xf>
    <xf numFmtId="169" fontId="2" fillId="0" borderId="38" xfId="0" applyNumberFormat="1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vertical="center"/>
    </xf>
    <xf numFmtId="0" fontId="2" fillId="0" borderId="47" xfId="0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right" vertical="center"/>
    </xf>
    <xf numFmtId="1" fontId="13" fillId="0" borderId="7" xfId="0" applyNumberFormat="1" applyFont="1" applyFill="1" applyBorder="1" applyAlignment="1">
      <alignment horizontal="center" vertical="center"/>
    </xf>
    <xf numFmtId="9" fontId="13" fillId="0" borderId="7" xfId="0" applyNumberFormat="1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right" vertical="center" wrapText="1"/>
    </xf>
    <xf numFmtId="0" fontId="1" fillId="0" borderId="39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/>
    </xf>
    <xf numFmtId="1" fontId="14" fillId="0" borderId="0" xfId="0" applyNumberFormat="1" applyFont="1" applyFill="1" applyBorder="1" applyAlignment="1">
      <alignment horizontal="center" vertical="center"/>
    </xf>
    <xf numFmtId="169" fontId="2" fillId="0" borderId="0" xfId="0" applyNumberFormat="1" applyFont="1" applyFill="1" applyBorder="1" applyAlignment="1">
      <alignment horizontal="center" vertical="center"/>
    </xf>
    <xf numFmtId="9" fontId="1" fillId="0" borderId="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right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vertical="center" wrapText="1"/>
    </xf>
    <xf numFmtId="3" fontId="2" fillId="0" borderId="12" xfId="0" applyNumberFormat="1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9" fontId="1" fillId="0" borderId="0" xfId="0" applyNumberFormat="1" applyFont="1" applyFill="1" applyAlignment="1">
      <alignment horizontal="center" vertical="center" wrapText="1"/>
    </xf>
    <xf numFmtId="0" fontId="2" fillId="0" borderId="42" xfId="0" applyFont="1" applyFill="1" applyBorder="1" applyAlignment="1">
      <alignment horizontal="right" vertical="center" wrapText="1"/>
    </xf>
    <xf numFmtId="0" fontId="1" fillId="0" borderId="44" xfId="0" applyFont="1" applyFill="1" applyBorder="1" applyAlignment="1">
      <alignment vertical="center"/>
    </xf>
    <xf numFmtId="0" fontId="1" fillId="0" borderId="44" xfId="0" applyFont="1" applyFill="1" applyBorder="1" applyAlignment="1">
      <alignment horizontal="center" vertical="center"/>
    </xf>
    <xf numFmtId="3" fontId="1" fillId="0" borderId="44" xfId="0" applyNumberFormat="1" applyFont="1" applyFill="1" applyBorder="1" applyAlignment="1">
      <alignment horizontal="center" vertical="center" readingOrder="2"/>
    </xf>
    <xf numFmtId="3" fontId="2" fillId="0" borderId="44" xfId="0" applyNumberFormat="1" applyFont="1" applyFill="1" applyBorder="1" applyAlignment="1">
      <alignment horizontal="center" vertical="center"/>
    </xf>
    <xf numFmtId="167" fontId="2" fillId="0" borderId="44" xfId="0" applyNumberFormat="1" applyFont="1" applyFill="1" applyBorder="1" applyAlignment="1">
      <alignment horizontal="center" vertical="center"/>
    </xf>
    <xf numFmtId="3" fontId="2" fillId="0" borderId="44" xfId="0" applyNumberFormat="1" applyFont="1" applyFill="1" applyBorder="1" applyAlignment="1">
      <alignment horizontal="center" vertical="center" wrapText="1" readingOrder="2"/>
    </xf>
    <xf numFmtId="3" fontId="2" fillId="0" borderId="48" xfId="0" applyNumberFormat="1" applyFont="1" applyFill="1" applyBorder="1" applyAlignment="1">
      <alignment horizontal="center" vertical="center" wrapText="1"/>
    </xf>
    <xf numFmtId="3" fontId="1" fillId="0" borderId="11" xfId="0" applyNumberFormat="1" applyFont="1" applyFill="1" applyBorder="1" applyAlignment="1">
      <alignment horizontal="center" vertical="center" readingOrder="2"/>
    </xf>
    <xf numFmtId="0" fontId="2" fillId="0" borderId="13" xfId="0" applyFont="1" applyFill="1" applyBorder="1" applyAlignment="1">
      <alignment vertical="center"/>
    </xf>
    <xf numFmtId="0" fontId="1" fillId="0" borderId="49" xfId="0" applyFont="1" applyFill="1" applyBorder="1" applyAlignment="1">
      <alignment vertical="center" wrapText="1"/>
    </xf>
    <xf numFmtId="0" fontId="2" fillId="0" borderId="50" xfId="0" applyFont="1" applyFill="1" applyBorder="1" applyAlignment="1">
      <alignment vertical="center" wrapText="1" readingOrder="2"/>
    </xf>
    <xf numFmtId="167" fontId="1" fillId="0" borderId="34" xfId="0" applyNumberFormat="1" applyFont="1" applyFill="1" applyBorder="1" applyAlignment="1">
      <alignment vertical="center"/>
    </xf>
    <xf numFmtId="0" fontId="2" fillId="0" borderId="51" xfId="0" applyFont="1" applyFill="1" applyBorder="1" applyAlignment="1">
      <alignment vertical="center"/>
    </xf>
    <xf numFmtId="9" fontId="1" fillId="0" borderId="39" xfId="0" applyNumberFormat="1" applyFont="1" applyFill="1" applyBorder="1" applyAlignment="1">
      <alignment horizontal="center" vertical="center"/>
    </xf>
    <xf numFmtId="9" fontId="1" fillId="0" borderId="0" xfId="3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3" fillId="0" borderId="36" xfId="0" applyFont="1" applyFill="1" applyBorder="1" applyAlignment="1">
      <alignment vertical="center"/>
    </xf>
    <xf numFmtId="0" fontId="17" fillId="0" borderId="36" xfId="0" applyFont="1" applyFill="1" applyBorder="1" applyAlignment="1">
      <alignment vertical="center"/>
    </xf>
    <xf numFmtId="3" fontId="1" fillId="0" borderId="24" xfId="0" applyNumberFormat="1" applyFont="1" applyFill="1" applyBorder="1" applyAlignment="1">
      <alignment horizontal="center" vertical="center" readingOrder="2"/>
    </xf>
    <xf numFmtId="0" fontId="10" fillId="0" borderId="0" xfId="0" applyFont="1" applyFill="1" applyAlignment="1">
      <alignment vertical="center" wrapText="1"/>
    </xf>
    <xf numFmtId="4" fontId="1" fillId="0" borderId="7" xfId="0" applyNumberFormat="1" applyFont="1" applyFill="1" applyBorder="1" applyAlignment="1">
      <alignment horizontal="center" vertical="center"/>
    </xf>
    <xf numFmtId="10" fontId="1" fillId="0" borderId="7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/>
    </xf>
    <xf numFmtId="1" fontId="8" fillId="0" borderId="0" xfId="0" applyNumberFormat="1" applyFont="1" applyFill="1" applyAlignment="1">
      <alignment horizontal="center" vertical="center"/>
    </xf>
    <xf numFmtId="0" fontId="13" fillId="0" borderId="19" xfId="0" applyFont="1" applyFill="1" applyBorder="1" applyAlignment="1">
      <alignment vertical="center"/>
    </xf>
    <xf numFmtId="1" fontId="16" fillId="0" borderId="0" xfId="0" applyNumberFormat="1" applyFont="1" applyFill="1" applyBorder="1" applyAlignment="1">
      <alignment horizontal="center" vertical="center"/>
    </xf>
    <xf numFmtId="169" fontId="5" fillId="0" borderId="0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Border="1" applyAlignment="1">
      <alignment horizontal="center" vertical="center"/>
    </xf>
    <xf numFmtId="3" fontId="1" fillId="0" borderId="0" xfId="0" applyNumberFormat="1" applyFont="1" applyFill="1" applyAlignment="1">
      <alignment vertical="center" wrapText="1"/>
    </xf>
    <xf numFmtId="10" fontId="1" fillId="0" borderId="0" xfId="0" applyNumberFormat="1" applyFont="1" applyFill="1" applyAlignment="1">
      <alignment vertical="center" wrapText="1"/>
    </xf>
    <xf numFmtId="9" fontId="1" fillId="0" borderId="0" xfId="0" applyNumberFormat="1" applyFont="1" applyFill="1" applyAlignment="1">
      <alignment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9" fontId="13" fillId="0" borderId="0" xfId="0" applyNumberFormat="1" applyFont="1" applyFill="1" applyAlignment="1">
      <alignment vertical="center"/>
    </xf>
    <xf numFmtId="9" fontId="1" fillId="0" borderId="38" xfId="0" applyNumberFormat="1" applyFont="1" applyFill="1" applyBorder="1" applyAlignment="1">
      <alignment horizontal="right" vertical="center" wrapText="1"/>
    </xf>
    <xf numFmtId="43" fontId="2" fillId="0" borderId="0" xfId="0" applyNumberFormat="1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/>
    </xf>
    <xf numFmtId="169" fontId="1" fillId="0" borderId="38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right" vertical="center" wrapText="1"/>
    </xf>
    <xf numFmtId="0" fontId="1" fillId="0" borderId="39" xfId="0" applyFont="1" applyFill="1" applyBorder="1" applyAlignment="1">
      <alignment horizontal="right" vertical="center" wrapText="1"/>
    </xf>
    <xf numFmtId="0" fontId="1" fillId="0" borderId="39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3" fillId="0" borderId="0" xfId="0" applyFont="1" applyFill="1"/>
    <xf numFmtId="0" fontId="15" fillId="0" borderId="0" xfId="0" applyFont="1" applyFill="1" applyAlignment="1">
      <alignment horizontal="center"/>
    </xf>
    <xf numFmtId="1" fontId="13" fillId="0" borderId="0" xfId="0" applyNumberFormat="1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3" fontId="8" fillId="0" borderId="12" xfId="0" applyNumberFormat="1" applyFont="1" applyFill="1" applyBorder="1" applyAlignment="1">
      <alignment horizontal="center" vertical="center" readingOrder="2"/>
    </xf>
    <xf numFmtId="0" fontId="2" fillId="0" borderId="49" xfId="0" applyFont="1" applyFill="1" applyBorder="1" applyAlignment="1">
      <alignment vertical="center" wrapText="1"/>
    </xf>
    <xf numFmtId="164" fontId="2" fillId="0" borderId="49" xfId="0" applyNumberFormat="1" applyFont="1" applyFill="1" applyBorder="1" applyAlignment="1">
      <alignment horizontal="center" vertical="center"/>
    </xf>
    <xf numFmtId="167" fontId="2" fillId="0" borderId="30" xfId="0" applyNumberFormat="1" applyFont="1" applyFill="1" applyBorder="1" applyAlignment="1">
      <alignment horizontal="center" vertical="center"/>
    </xf>
    <xf numFmtId="168" fontId="5" fillId="0" borderId="49" xfId="0" applyNumberFormat="1" applyFont="1" applyFill="1" applyBorder="1" applyAlignment="1">
      <alignment horizontal="right" vertical="center"/>
    </xf>
    <xf numFmtId="0" fontId="13" fillId="0" borderId="7" xfId="0" applyFont="1" applyFill="1" applyBorder="1"/>
    <xf numFmtId="0" fontId="19" fillId="0" borderId="0" xfId="0" applyFont="1" applyFill="1" applyAlignment="1">
      <alignment horizontal="center" vertical="center"/>
    </xf>
    <xf numFmtId="0" fontId="14" fillId="0" borderId="2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36" xfId="0" applyFont="1" applyFill="1" applyBorder="1" applyAlignment="1">
      <alignment horizontal="right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right" vertical="center"/>
    </xf>
    <xf numFmtId="3" fontId="13" fillId="0" borderId="23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3" fontId="13" fillId="0" borderId="24" xfId="0" applyNumberFormat="1" applyFont="1" applyFill="1" applyBorder="1" applyAlignment="1">
      <alignment horizontal="center" vertical="center"/>
    </xf>
    <xf numFmtId="170" fontId="2" fillId="0" borderId="23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vertical="center" wrapText="1"/>
    </xf>
    <xf numFmtId="0" fontId="1" fillId="0" borderId="10" xfId="0" applyFont="1" applyFill="1" applyBorder="1" applyAlignment="1">
      <alignment vertical="center" readingOrder="2"/>
    </xf>
    <xf numFmtId="0" fontId="2" fillId="0" borderId="0" xfId="0" applyFont="1" applyFill="1" applyAlignment="1">
      <alignment horizontal="right" vertical="center" wrapText="1"/>
    </xf>
    <xf numFmtId="3" fontId="13" fillId="0" borderId="7" xfId="0" applyNumberFormat="1" applyFont="1" applyFill="1" applyBorder="1" applyAlignment="1">
      <alignment horizontal="center" vertical="center" wrapText="1"/>
    </xf>
    <xf numFmtId="10" fontId="1" fillId="2" borderId="12" xfId="0" applyNumberFormat="1" applyFont="1" applyFill="1" applyBorder="1" applyAlignment="1">
      <alignment vertical="center"/>
    </xf>
    <xf numFmtId="0" fontId="20" fillId="0" borderId="0" xfId="0" applyFont="1"/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7" xfId="0" applyBorder="1"/>
    <xf numFmtId="0" fontId="0" fillId="0" borderId="7" xfId="0" applyBorder="1" applyAlignment="1">
      <alignment horizontal="center"/>
    </xf>
    <xf numFmtId="166" fontId="2" fillId="0" borderId="7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7" xfId="0" applyFill="1" applyBorder="1"/>
    <xf numFmtId="0" fontId="0" fillId="0" borderId="0" xfId="0" applyFill="1" applyBorder="1"/>
    <xf numFmtId="3" fontId="2" fillId="0" borderId="14" xfId="0" applyNumberFormat="1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right" vertical="center" wrapText="1"/>
    </xf>
    <xf numFmtId="0" fontId="1" fillId="0" borderId="39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1" fillId="0" borderId="52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 readingOrder="2"/>
    </xf>
    <xf numFmtId="0" fontId="2" fillId="0" borderId="39" xfId="0" applyFont="1" applyFill="1" applyBorder="1" applyAlignment="1">
      <alignment horizontal="center" vertical="center" wrapText="1" readingOrder="2"/>
    </xf>
  </cellXfs>
  <cellStyles count="5">
    <cellStyle name="Comma" xfId="1" builtinId="3"/>
    <cellStyle name="Normal" xfId="0" builtinId="0"/>
    <cellStyle name="Normal 2" xfId="2"/>
    <cellStyle name="Percent" xfId="3" builtinId="5"/>
    <cellStyle name="Percent 2" xfId="4"/>
  </cellStyles>
  <dxfs count="0"/>
  <tableStyles count="0" defaultTableStyle="TableStyleMedium9" defaultPivotStyle="PivotStyleLight16"/>
  <colors>
    <mruColors>
      <color rgb="FF00CCFF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E34"/>
  <sheetViews>
    <sheetView rightToLeft="1" workbookViewId="0">
      <selection activeCell="D18" sqref="C17:D18"/>
    </sheetView>
  </sheetViews>
  <sheetFormatPr defaultRowHeight="14.25" x14ac:dyDescent="0.2"/>
  <cols>
    <col min="3" max="3" width="17" customWidth="1"/>
    <col min="4" max="4" width="20.75" customWidth="1"/>
    <col min="5" max="5" width="15" customWidth="1"/>
    <col min="6" max="6" width="14.125" customWidth="1"/>
  </cols>
  <sheetData>
    <row r="6" spans="3:4" ht="15" x14ac:dyDescent="0.25">
      <c r="C6" s="368" t="s">
        <v>250</v>
      </c>
    </row>
    <row r="8" spans="3:4" x14ac:dyDescent="0.2">
      <c r="C8" s="371" t="s">
        <v>262</v>
      </c>
      <c r="D8" s="371"/>
    </row>
    <row r="9" spans="3:4" x14ac:dyDescent="0.2">
      <c r="C9" s="371" t="s">
        <v>252</v>
      </c>
      <c r="D9" s="371"/>
    </row>
    <row r="10" spans="3:4" x14ac:dyDescent="0.2">
      <c r="C10" s="371" t="s">
        <v>253</v>
      </c>
      <c r="D10" s="371"/>
    </row>
    <row r="11" spans="3:4" x14ac:dyDescent="0.2">
      <c r="C11" s="371" t="s">
        <v>256</v>
      </c>
      <c r="D11" s="371"/>
    </row>
    <row r="12" spans="3:4" x14ac:dyDescent="0.2">
      <c r="C12" s="371" t="s">
        <v>263</v>
      </c>
      <c r="D12" s="371"/>
    </row>
    <row r="13" spans="3:4" x14ac:dyDescent="0.2">
      <c r="C13" s="371" t="s">
        <v>264</v>
      </c>
      <c r="D13" s="371"/>
    </row>
    <row r="14" spans="3:4" x14ac:dyDescent="0.2">
      <c r="C14" s="371" t="s">
        <v>251</v>
      </c>
      <c r="D14" s="371"/>
    </row>
    <row r="15" spans="3:4" x14ac:dyDescent="0.2">
      <c r="C15" s="371" t="s">
        <v>254</v>
      </c>
      <c r="D15" s="371"/>
    </row>
    <row r="16" spans="3:4" x14ac:dyDescent="0.2">
      <c r="C16" s="371" t="s">
        <v>255</v>
      </c>
      <c r="D16" s="371"/>
    </row>
    <row r="17" spans="3:5" x14ac:dyDescent="0.2">
      <c r="C17" s="376" t="s">
        <v>265</v>
      </c>
      <c r="D17" s="371"/>
    </row>
    <row r="18" spans="3:5" x14ac:dyDescent="0.2">
      <c r="C18" s="376" t="s">
        <v>266</v>
      </c>
      <c r="D18" s="371"/>
    </row>
    <row r="19" spans="3:5" x14ac:dyDescent="0.2">
      <c r="C19" s="377"/>
      <c r="D19" s="375"/>
    </row>
    <row r="20" spans="3:5" x14ac:dyDescent="0.2">
      <c r="C20" t="s">
        <v>257</v>
      </c>
    </row>
    <row r="22" spans="3:5" ht="42.75" x14ac:dyDescent="0.2">
      <c r="C22" s="369" t="s">
        <v>259</v>
      </c>
      <c r="D22" s="370" t="s">
        <v>258</v>
      </c>
      <c r="E22" s="370" t="s">
        <v>260</v>
      </c>
    </row>
    <row r="23" spans="3:5" x14ac:dyDescent="0.2">
      <c r="C23" s="372">
        <v>1</v>
      </c>
      <c r="D23" s="371"/>
      <c r="E23" s="371"/>
    </row>
    <row r="24" spans="3:5" x14ac:dyDescent="0.2">
      <c r="C24" s="372">
        <v>2</v>
      </c>
      <c r="D24" s="371"/>
      <c r="E24" s="371"/>
    </row>
    <row r="25" spans="3:5" x14ac:dyDescent="0.2">
      <c r="C25" s="372">
        <v>3</v>
      </c>
      <c r="D25" s="371"/>
      <c r="E25" s="371"/>
    </row>
    <row r="26" spans="3:5" x14ac:dyDescent="0.2">
      <c r="C26" s="372">
        <v>4</v>
      </c>
      <c r="D26" s="371"/>
      <c r="E26" s="371"/>
    </row>
    <row r="27" spans="3:5" x14ac:dyDescent="0.2">
      <c r="C27" s="372">
        <v>5</v>
      </c>
      <c r="D27" s="371"/>
      <c r="E27" s="371"/>
    </row>
    <row r="28" spans="3:5" x14ac:dyDescent="0.2">
      <c r="C28" s="372">
        <v>6</v>
      </c>
      <c r="D28" s="371"/>
      <c r="E28" s="371"/>
    </row>
    <row r="29" spans="3:5" x14ac:dyDescent="0.2">
      <c r="C29" s="372">
        <v>7</v>
      </c>
      <c r="D29" s="371"/>
      <c r="E29" s="371"/>
    </row>
    <row r="30" spans="3:5" x14ac:dyDescent="0.2">
      <c r="C30" s="372">
        <v>8</v>
      </c>
      <c r="D30" s="371"/>
      <c r="E30" s="371"/>
    </row>
    <row r="31" spans="3:5" x14ac:dyDescent="0.2">
      <c r="C31" s="372">
        <v>9</v>
      </c>
      <c r="D31" s="371"/>
      <c r="E31" s="371"/>
    </row>
    <row r="32" spans="3:5" x14ac:dyDescent="0.2">
      <c r="C32" s="372">
        <v>10</v>
      </c>
      <c r="D32" s="371"/>
      <c r="E32" s="371"/>
    </row>
    <row r="33" spans="3:5" x14ac:dyDescent="0.2">
      <c r="C33" s="372">
        <v>11</v>
      </c>
      <c r="D33" s="371"/>
      <c r="E33" s="371"/>
    </row>
    <row r="34" spans="3:5" x14ac:dyDescent="0.2">
      <c r="C34" s="372"/>
      <c r="D34" s="371"/>
      <c r="E34" s="37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>
      <selection activeCell="E30" sqref="E30"/>
    </sheetView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55"/>
  <sheetViews>
    <sheetView showGridLines="0" rightToLeft="1" tabSelected="1" zoomScaleNormal="100" zoomScaleSheetLayoutView="100" workbookViewId="0">
      <selection activeCell="A25" sqref="A25"/>
    </sheetView>
  </sheetViews>
  <sheetFormatPr defaultColWidth="9" defaultRowHeight="14.25" x14ac:dyDescent="0.2"/>
  <cols>
    <col min="1" max="1" width="33.25" style="218" customWidth="1"/>
    <col min="2" max="2" width="14.75" style="218" customWidth="1"/>
    <col min="3" max="3" width="12.5" style="218" customWidth="1"/>
    <col min="4" max="4" width="12.625" style="218" customWidth="1"/>
    <col min="5" max="5" width="10.75" style="218" customWidth="1"/>
    <col min="6" max="6" width="11.5" style="218" customWidth="1"/>
    <col min="7" max="7" width="9.375" style="218" customWidth="1"/>
    <col min="8" max="8" width="11" style="218" customWidth="1"/>
    <col min="9" max="9" width="10" style="218" customWidth="1"/>
    <col min="10" max="10" width="7" style="218" customWidth="1"/>
    <col min="11" max="11" width="8.5" style="218" customWidth="1"/>
    <col min="12" max="12" width="7.625" style="218" customWidth="1"/>
    <col min="13" max="13" width="7.375" style="218" customWidth="1"/>
    <col min="14" max="16384" width="9" style="218"/>
  </cols>
  <sheetData>
    <row r="1" spans="1:13" s="24" customFormat="1" ht="15.75" x14ac:dyDescent="0.2">
      <c r="A1" s="34" t="s">
        <v>104</v>
      </c>
      <c r="B1" s="64"/>
      <c r="C1" s="63"/>
      <c r="D1" s="64"/>
      <c r="E1" s="65"/>
      <c r="F1" s="65"/>
      <c r="G1" s="134"/>
      <c r="H1" s="106"/>
      <c r="I1" s="106"/>
      <c r="J1" s="106"/>
      <c r="K1" s="106"/>
      <c r="L1" s="106"/>
      <c r="M1" s="106"/>
    </row>
    <row r="2" spans="1:13" s="24" customFormat="1" ht="9" customHeight="1" x14ac:dyDescent="0.2">
      <c r="A2" s="34"/>
      <c r="B2" s="64"/>
      <c r="C2" s="63"/>
      <c r="D2" s="64"/>
      <c r="E2" s="65"/>
      <c r="F2" s="65"/>
      <c r="G2" s="134"/>
      <c r="H2" s="106"/>
      <c r="I2" s="106"/>
      <c r="J2" s="106"/>
      <c r="K2" s="106"/>
      <c r="L2" s="106"/>
      <c r="M2" s="106"/>
    </row>
    <row r="3" spans="1:13" s="195" customFormat="1" ht="12" customHeight="1" x14ac:dyDescent="0.2">
      <c r="A3" s="192" t="s">
        <v>73</v>
      </c>
      <c r="B3" s="193"/>
      <c r="C3" s="193"/>
      <c r="D3" s="193"/>
      <c r="E3" s="193"/>
      <c r="F3" s="193"/>
      <c r="G3" s="194"/>
      <c r="H3" s="193"/>
      <c r="I3" s="193"/>
      <c r="J3" s="193"/>
      <c r="K3" s="193"/>
      <c r="L3" s="193"/>
      <c r="M3" s="193"/>
    </row>
    <row r="4" spans="1:13" s="195" customFormat="1" ht="8.25" customHeight="1" x14ac:dyDescent="0.2">
      <c r="A4" s="192"/>
      <c r="B4" s="193"/>
      <c r="C4" s="193"/>
      <c r="D4" s="193"/>
      <c r="E4" s="193"/>
      <c r="F4" s="193"/>
      <c r="G4" s="194"/>
      <c r="H4" s="193"/>
      <c r="I4" s="193"/>
      <c r="J4" s="193"/>
      <c r="K4" s="193"/>
      <c r="L4" s="193"/>
      <c r="M4" s="193"/>
    </row>
    <row r="5" spans="1:13" ht="12.75" customHeight="1" x14ac:dyDescent="0.25">
      <c r="A5" s="341"/>
      <c r="B5" s="342"/>
      <c r="C5" s="342"/>
    </row>
    <row r="6" spans="1:13" ht="20.100000000000001" customHeight="1" x14ac:dyDescent="0.25">
      <c r="A6" s="351" t="s">
        <v>261</v>
      </c>
      <c r="B6" s="187"/>
      <c r="C6" s="342"/>
      <c r="D6" s="343"/>
      <c r="E6" s="343"/>
      <c r="F6" s="343"/>
    </row>
    <row r="7" spans="1:13" ht="20.100000000000001" customHeight="1" x14ac:dyDescent="0.25">
      <c r="A7" s="351" t="s">
        <v>180</v>
      </c>
      <c r="B7" s="187"/>
      <c r="C7" s="342"/>
      <c r="D7" s="343"/>
      <c r="E7" s="343"/>
      <c r="F7" s="343"/>
    </row>
    <row r="8" spans="1:13" ht="20.100000000000001" customHeight="1" x14ac:dyDescent="0.25">
      <c r="A8" s="351" t="s">
        <v>208</v>
      </c>
      <c r="B8" s="187"/>
      <c r="C8" s="342"/>
      <c r="D8" s="343"/>
      <c r="E8" s="343"/>
      <c r="F8" s="343"/>
    </row>
    <row r="9" spans="1:13" ht="20.100000000000001" customHeight="1" x14ac:dyDescent="0.25">
      <c r="A9" s="351" t="s">
        <v>207</v>
      </c>
      <c r="B9" s="187"/>
      <c r="C9" s="342"/>
    </row>
    <row r="10" spans="1:13" ht="20.100000000000001" customHeight="1" x14ac:dyDescent="0.25">
      <c r="A10" s="351" t="s">
        <v>209</v>
      </c>
      <c r="B10" s="187"/>
      <c r="C10" s="342"/>
      <c r="D10" s="344"/>
      <c r="E10" s="345"/>
      <c r="F10" s="344"/>
    </row>
    <row r="11" spans="1:13" s="195" customFormat="1" ht="20.100000000000001" customHeight="1" x14ac:dyDescent="0.2">
      <c r="A11" s="192"/>
      <c r="B11" s="193"/>
      <c r="C11" s="193"/>
      <c r="D11" s="193"/>
      <c r="E11" s="193"/>
      <c r="F11" s="193"/>
      <c r="G11" s="194"/>
      <c r="H11" s="193"/>
      <c r="I11" s="193"/>
      <c r="J11" s="193"/>
      <c r="K11" s="193"/>
      <c r="L11" s="193"/>
      <c r="M11" s="193"/>
    </row>
    <row r="12" spans="1:13" s="198" customFormat="1" ht="38.25" customHeight="1" x14ac:dyDescent="0.2">
      <c r="A12" s="196"/>
      <c r="B12" s="196" t="s">
        <v>75</v>
      </c>
      <c r="C12" s="196" t="s">
        <v>71</v>
      </c>
      <c r="D12" s="196" t="s">
        <v>86</v>
      </c>
      <c r="E12" s="196" t="s">
        <v>0</v>
      </c>
      <c r="F12" s="196" t="s">
        <v>71</v>
      </c>
      <c r="G12" s="197"/>
    </row>
    <row r="13" spans="1:13" s="195" customFormat="1" ht="20.100000000000001" customHeight="1" x14ac:dyDescent="0.2">
      <c r="A13" s="199" t="s">
        <v>80</v>
      </c>
      <c r="B13" s="145" t="s">
        <v>177</v>
      </c>
      <c r="C13" s="282">
        <f>B8</f>
        <v>0</v>
      </c>
      <c r="D13" s="282">
        <f>C13-12</f>
        <v>-12</v>
      </c>
      <c r="E13" s="187">
        <f>B9</f>
        <v>0</v>
      </c>
      <c r="F13" s="187">
        <f>C13*E13</f>
        <v>0</v>
      </c>
      <c r="G13" s="200" t="e">
        <f>E13/$E$14</f>
        <v>#DIV/0!</v>
      </c>
      <c r="H13" s="193"/>
      <c r="I13" s="193"/>
      <c r="J13" s="193"/>
      <c r="K13" s="193"/>
      <c r="L13" s="193"/>
      <c r="M13" s="193"/>
    </row>
    <row r="14" spans="1:13" s="206" customFormat="1" ht="20.100000000000001" customHeight="1" x14ac:dyDescent="0.2">
      <c r="A14" s="201" t="s">
        <v>1</v>
      </c>
      <c r="B14" s="202"/>
      <c r="C14" s="202"/>
      <c r="D14" s="145"/>
      <c r="E14" s="202">
        <f>SUM(E13:E13)</f>
        <v>0</v>
      </c>
      <c r="F14" s="203">
        <f>SUM(F13:F13)</f>
        <v>0</v>
      </c>
      <c r="G14" s="204" t="e">
        <f>SUM(G13:G13)</f>
        <v>#DIV/0!</v>
      </c>
      <c r="H14" s="205"/>
      <c r="I14" s="205"/>
      <c r="J14" s="205"/>
      <c r="K14" s="205"/>
      <c r="L14" s="205"/>
      <c r="M14" s="205"/>
    </row>
    <row r="15" spans="1:13" s="207" customFormat="1" ht="20.100000000000001" hidden="1" customHeight="1" x14ac:dyDescent="0.2">
      <c r="B15" s="208"/>
      <c r="C15" s="208" t="s">
        <v>2</v>
      </c>
      <c r="D15" s="208"/>
      <c r="E15" s="208"/>
      <c r="F15" s="209"/>
      <c r="G15" s="210"/>
      <c r="H15" s="208"/>
      <c r="I15" s="208"/>
      <c r="J15" s="208"/>
      <c r="K15" s="208"/>
      <c r="L15" s="208"/>
      <c r="M15" s="208"/>
    </row>
    <row r="16" spans="1:13" s="207" customFormat="1" ht="20.100000000000001" customHeight="1" x14ac:dyDescent="0.2">
      <c r="B16" s="208"/>
      <c r="C16" s="208"/>
      <c r="D16" s="208"/>
      <c r="E16" s="210"/>
      <c r="F16" s="209"/>
      <c r="G16" s="210"/>
      <c r="H16" s="208"/>
      <c r="I16" s="208"/>
      <c r="J16" s="208"/>
      <c r="K16" s="208"/>
      <c r="L16" s="208"/>
      <c r="M16" s="208"/>
    </row>
    <row r="17" spans="1:13" s="195" customFormat="1" ht="20.100000000000001" customHeight="1" x14ac:dyDescent="0.2">
      <c r="A17" s="192" t="s">
        <v>17</v>
      </c>
      <c r="B17" s="193"/>
      <c r="C17" s="193"/>
      <c r="E17" s="193"/>
      <c r="F17" s="193"/>
      <c r="G17" s="193"/>
      <c r="H17" s="193"/>
      <c r="I17" s="193"/>
      <c r="J17" s="193"/>
      <c r="K17" s="193"/>
      <c r="L17" s="193"/>
      <c r="M17" s="193"/>
    </row>
    <row r="18" spans="1:13" s="198" customFormat="1" ht="39.75" customHeight="1" x14ac:dyDescent="0.2">
      <c r="A18" s="196"/>
      <c r="B18" s="196" t="s">
        <v>75</v>
      </c>
      <c r="C18" s="196" t="s">
        <v>71</v>
      </c>
      <c r="D18" s="196" t="s">
        <v>86</v>
      </c>
      <c r="E18" s="196" t="s">
        <v>0</v>
      </c>
      <c r="F18" s="196" t="s">
        <v>71</v>
      </c>
      <c r="G18" s="197"/>
    </row>
    <row r="19" spans="1:13" s="195" customFormat="1" ht="20.100000000000001" customHeight="1" x14ac:dyDescent="0.2">
      <c r="A19" s="199" t="s">
        <v>179</v>
      </c>
      <c r="B19" s="145" t="s">
        <v>76</v>
      </c>
      <c r="C19" s="145"/>
      <c r="D19" s="145"/>
      <c r="E19" s="282"/>
      <c r="F19" s="187"/>
      <c r="G19" s="283"/>
      <c r="H19" s="333"/>
      <c r="I19" s="193"/>
      <c r="J19" s="193"/>
      <c r="K19" s="193"/>
      <c r="L19" s="193"/>
      <c r="M19" s="193"/>
    </row>
    <row r="20" spans="1:13" s="195" customFormat="1" ht="20.100000000000001" customHeight="1" x14ac:dyDescent="0.2">
      <c r="A20" s="199" t="s">
        <v>72</v>
      </c>
      <c r="B20" s="145" t="s">
        <v>77</v>
      </c>
      <c r="C20" s="145"/>
      <c r="D20" s="145"/>
      <c r="E20" s="282"/>
      <c r="F20" s="212"/>
      <c r="G20" s="283"/>
      <c r="H20" s="333"/>
      <c r="I20" s="193"/>
      <c r="J20" s="193"/>
      <c r="K20" s="193"/>
      <c r="L20" s="193"/>
      <c r="M20" s="193"/>
    </row>
    <row r="21" spans="1:13" s="195" customFormat="1" ht="20.100000000000001" customHeight="1" x14ac:dyDescent="0.2">
      <c r="A21" s="201" t="s">
        <v>18</v>
      </c>
      <c r="B21" s="202"/>
      <c r="C21" s="202"/>
      <c r="D21" s="202"/>
      <c r="E21" s="203"/>
      <c r="F21" s="203"/>
      <c r="G21" s="213"/>
      <c r="I21" s="193"/>
      <c r="J21" s="193"/>
      <c r="K21" s="193"/>
      <c r="L21" s="193"/>
      <c r="M21" s="193"/>
    </row>
    <row r="22" spans="1:13" s="195" customFormat="1" ht="15.75" customHeight="1" x14ac:dyDescent="0.2">
      <c r="A22" s="214"/>
      <c r="B22" s="193"/>
      <c r="C22" s="215"/>
      <c r="D22" s="215"/>
      <c r="E22" s="295">
        <f>SUM(E19:E20)</f>
        <v>0</v>
      </c>
      <c r="F22" s="216"/>
      <c r="G22" s="194"/>
      <c r="H22" s="193"/>
      <c r="I22" s="193"/>
      <c r="J22" s="193"/>
      <c r="K22" s="193"/>
      <c r="L22" s="193"/>
      <c r="M22" s="193"/>
    </row>
    <row r="23" spans="1:13" s="195" customFormat="1" ht="15.75" customHeight="1" x14ac:dyDescent="0.2">
      <c r="A23" s="214"/>
      <c r="B23" s="193"/>
      <c r="C23" s="215"/>
      <c r="D23" s="215"/>
      <c r="E23" s="295"/>
      <c r="F23" s="216"/>
      <c r="G23" s="194"/>
      <c r="H23" s="193"/>
      <c r="I23" s="193"/>
      <c r="J23" s="193"/>
      <c r="K23" s="193"/>
      <c r="L23" s="193"/>
      <c r="M23" s="193"/>
    </row>
    <row r="24" spans="1:13" s="195" customFormat="1" ht="15.75" customHeight="1" x14ac:dyDescent="0.2">
      <c r="A24" s="214"/>
      <c r="B24" s="193"/>
      <c r="C24" s="215"/>
      <c r="D24" s="215"/>
      <c r="E24" s="295"/>
      <c r="F24" s="216"/>
      <c r="G24" s="194"/>
      <c r="H24" s="193"/>
      <c r="I24" s="193"/>
      <c r="J24" s="193"/>
      <c r="K24" s="193"/>
      <c r="L24" s="193"/>
      <c r="M24" s="193"/>
    </row>
    <row r="25" spans="1:13" s="195" customFormat="1" ht="15.75" customHeight="1" x14ac:dyDescent="0.2">
      <c r="A25" s="192" t="s">
        <v>20</v>
      </c>
      <c r="B25" s="193"/>
      <c r="C25" s="193"/>
      <c r="D25" s="193"/>
      <c r="E25" s="193"/>
      <c r="F25" s="193"/>
      <c r="G25" s="194"/>
      <c r="H25" s="193"/>
      <c r="I25" s="193"/>
      <c r="J25" s="193"/>
      <c r="K25" s="193"/>
      <c r="L25" s="193"/>
      <c r="M25" s="193"/>
    </row>
    <row r="26" spans="1:13" s="198" customFormat="1" ht="38.25" customHeight="1" x14ac:dyDescent="0.2">
      <c r="A26" s="196"/>
      <c r="B26" s="196" t="s">
        <v>75</v>
      </c>
      <c r="C26" s="196" t="s">
        <v>71</v>
      </c>
      <c r="D26" s="196" t="s">
        <v>86</v>
      </c>
      <c r="E26" s="196" t="s">
        <v>0</v>
      </c>
      <c r="F26" s="196" t="s">
        <v>71</v>
      </c>
      <c r="G26" s="197"/>
    </row>
    <row r="27" spans="1:13" s="198" customFormat="1" ht="19.5" hidden="1" customHeight="1" x14ac:dyDescent="0.2">
      <c r="A27" s="199" t="s">
        <v>243</v>
      </c>
      <c r="B27" s="196"/>
      <c r="C27" s="197" t="e">
        <f>#REF!</f>
        <v>#REF!</v>
      </c>
      <c r="D27" s="197" t="e">
        <f>#REF!</f>
        <v>#REF!</v>
      </c>
      <c r="E27" s="366" t="e">
        <f>#REF!</f>
        <v>#REF!</v>
      </c>
      <c r="F27" s="366" t="e">
        <f>#REF!</f>
        <v>#REF!</v>
      </c>
      <c r="G27" s="200"/>
    </row>
    <row r="28" spans="1:13" s="195" customFormat="1" ht="20.100000000000001" customHeight="1" x14ac:dyDescent="0.2">
      <c r="A28" s="199" t="s">
        <v>244</v>
      </c>
      <c r="B28" s="145" t="s">
        <v>177</v>
      </c>
      <c r="C28" s="282"/>
      <c r="D28" s="282"/>
      <c r="E28" s="145"/>
      <c r="F28" s="187"/>
      <c r="G28" s="200"/>
      <c r="H28" s="193"/>
      <c r="I28" s="193"/>
      <c r="J28" s="193"/>
      <c r="K28" s="193"/>
      <c r="L28" s="193"/>
      <c r="M28" s="193"/>
    </row>
    <row r="29" spans="1:13" s="195" customFormat="1" ht="20.100000000000001" customHeight="1" x14ac:dyDescent="0.2">
      <c r="A29" s="199" t="s">
        <v>179</v>
      </c>
      <c r="B29" s="145" t="s">
        <v>76</v>
      </c>
      <c r="C29" s="145"/>
      <c r="D29" s="145"/>
      <c r="E29" s="282"/>
      <c r="F29" s="187"/>
      <c r="G29" s="200"/>
      <c r="H29" s="193"/>
      <c r="I29" s="193"/>
      <c r="J29" s="193"/>
      <c r="K29" s="193"/>
      <c r="L29" s="193"/>
      <c r="M29" s="193"/>
    </row>
    <row r="30" spans="1:13" s="195" customFormat="1" ht="20.100000000000001" customHeight="1" x14ac:dyDescent="0.2">
      <c r="A30" s="199" t="s">
        <v>203</v>
      </c>
      <c r="B30" s="145" t="s">
        <v>77</v>
      </c>
      <c r="C30" s="145"/>
      <c r="D30" s="145"/>
      <c r="E30" s="187"/>
      <c r="F30" s="187"/>
      <c r="G30" s="200"/>
      <c r="H30" s="193"/>
      <c r="I30" s="193"/>
      <c r="J30" s="193"/>
      <c r="K30" s="193"/>
      <c r="L30" s="193"/>
      <c r="M30" s="193"/>
    </row>
    <row r="31" spans="1:13" s="206" customFormat="1" ht="22.5" customHeight="1" x14ac:dyDescent="0.2">
      <c r="A31" s="201" t="s">
        <v>1</v>
      </c>
      <c r="B31" s="145"/>
      <c r="C31" s="202"/>
      <c r="D31" s="202"/>
      <c r="E31" s="203"/>
      <c r="F31" s="203"/>
      <c r="G31" s="213"/>
      <c r="H31" s="205"/>
      <c r="I31" s="205"/>
      <c r="J31" s="205"/>
      <c r="K31" s="205"/>
      <c r="L31" s="205"/>
      <c r="M31" s="205"/>
    </row>
    <row r="32" spans="1:13" s="195" customFormat="1" ht="20.100000000000001" hidden="1" customHeight="1" x14ac:dyDescent="0.2">
      <c r="B32" s="193"/>
      <c r="C32" s="208" t="s">
        <v>2</v>
      </c>
      <c r="D32" s="193"/>
      <c r="E32" s="209">
        <f>E14+E21</f>
        <v>0</v>
      </c>
      <c r="F32" s="209" t="e">
        <f>F14+F21+#REF!</f>
        <v>#REF!</v>
      </c>
      <c r="G32" s="194"/>
      <c r="H32" s="193"/>
      <c r="I32" s="193"/>
      <c r="J32" s="193"/>
      <c r="K32" s="193"/>
      <c r="L32" s="193"/>
      <c r="M32" s="193"/>
    </row>
    <row r="33" spans="1:13" s="24" customFormat="1" ht="15.75" hidden="1" x14ac:dyDescent="0.2">
      <c r="A33" s="34"/>
      <c r="B33" s="64"/>
      <c r="C33" s="146" t="s">
        <v>79</v>
      </c>
      <c r="D33" s="106"/>
      <c r="E33" s="147" t="e">
        <f>E31/E14</f>
        <v>#DIV/0!</v>
      </c>
      <c r="F33" s="64"/>
      <c r="G33" s="133"/>
      <c r="H33" s="106"/>
      <c r="I33" s="106"/>
      <c r="J33" s="106"/>
      <c r="K33" s="106"/>
      <c r="L33" s="106"/>
      <c r="M33" s="106"/>
    </row>
    <row r="34" spans="1:13" s="24" customFormat="1" ht="15.75" hidden="1" x14ac:dyDescent="0.2">
      <c r="A34" s="34"/>
      <c r="B34" s="64"/>
      <c r="C34" s="146"/>
      <c r="D34" s="106"/>
      <c r="E34" s="331">
        <f>SUM(E28:E30)</f>
        <v>0</v>
      </c>
      <c r="F34" s="65"/>
      <c r="G34" s="133"/>
      <c r="H34" s="106"/>
      <c r="I34" s="106"/>
      <c r="J34" s="106"/>
      <c r="K34" s="106"/>
      <c r="L34" s="106"/>
      <c r="M34" s="106"/>
    </row>
    <row r="35" spans="1:13" s="24" customFormat="1" ht="15.75" hidden="1" x14ac:dyDescent="0.2">
      <c r="A35" s="34"/>
      <c r="B35" s="64"/>
      <c r="C35" s="146"/>
      <c r="D35" s="106"/>
      <c r="E35" s="331"/>
      <c r="F35" s="65"/>
      <c r="G35" s="133"/>
      <c r="H35" s="106"/>
      <c r="I35" s="106"/>
      <c r="J35" s="106"/>
      <c r="K35" s="106"/>
      <c r="L35" s="106"/>
      <c r="M35" s="106"/>
    </row>
    <row r="36" spans="1:13" s="24" customFormat="1" ht="15.75" x14ac:dyDescent="0.2">
      <c r="A36" s="34" t="s">
        <v>108</v>
      </c>
      <c r="B36" s="64"/>
      <c r="C36" s="146"/>
      <c r="D36" s="106"/>
      <c r="E36" s="147"/>
      <c r="F36" s="65"/>
      <c r="G36" s="133"/>
      <c r="H36" s="106"/>
      <c r="I36" s="106"/>
      <c r="J36" s="106"/>
      <c r="K36" s="106"/>
      <c r="L36" s="106"/>
      <c r="M36" s="106"/>
    </row>
    <row r="37" spans="1:13" s="24" customFormat="1" ht="15.75" x14ac:dyDescent="0.2">
      <c r="A37" s="34"/>
      <c r="B37" s="64"/>
      <c r="C37" s="146"/>
      <c r="D37" s="106"/>
      <c r="E37" s="147"/>
      <c r="F37" s="65"/>
      <c r="G37" s="133"/>
      <c r="H37" s="106"/>
      <c r="I37" s="106"/>
      <c r="J37" s="106"/>
      <c r="K37" s="106"/>
      <c r="L37" s="106"/>
      <c r="M37" s="106"/>
    </row>
    <row r="38" spans="1:13" s="24" customFormat="1" ht="15.75" x14ac:dyDescent="0.2">
      <c r="A38" s="228" t="s">
        <v>267</v>
      </c>
      <c r="B38" s="50"/>
      <c r="C38" s="146"/>
      <c r="D38" s="106"/>
      <c r="E38" s="147"/>
      <c r="F38" s="65"/>
      <c r="G38" s="133"/>
      <c r="H38" s="106"/>
      <c r="I38" s="106"/>
      <c r="J38" s="106"/>
      <c r="K38" s="106"/>
      <c r="L38" s="106"/>
      <c r="M38" s="106"/>
    </row>
    <row r="39" spans="1:13" s="24" customFormat="1" ht="20.100000000000001" customHeight="1" x14ac:dyDescent="0.2">
      <c r="A39" s="228" t="s">
        <v>116</v>
      </c>
      <c r="B39" s="50"/>
      <c r="C39" s="146"/>
      <c r="D39" s="106"/>
      <c r="E39" s="147"/>
      <c r="F39" s="65"/>
      <c r="G39" s="133"/>
      <c r="H39" s="106"/>
      <c r="I39" s="106"/>
      <c r="J39" s="106"/>
      <c r="K39" s="106"/>
      <c r="L39" s="106"/>
      <c r="M39" s="106"/>
    </row>
    <row r="40" spans="1:13" s="24" customFormat="1" ht="20.100000000000001" customHeight="1" x14ac:dyDescent="0.2">
      <c r="A40" s="228" t="s">
        <v>115</v>
      </c>
      <c r="B40" s="50"/>
      <c r="C40" s="146"/>
      <c r="D40" s="106"/>
      <c r="E40" s="147"/>
      <c r="F40" s="65"/>
      <c r="G40" s="133"/>
      <c r="H40" s="106"/>
      <c r="I40" s="106"/>
      <c r="J40" s="106"/>
      <c r="K40" s="106"/>
      <c r="L40" s="106"/>
      <c r="M40" s="106"/>
    </row>
    <row r="41" spans="1:13" s="24" customFormat="1" ht="20.100000000000001" customHeight="1" x14ac:dyDescent="0.2">
      <c r="A41" s="228" t="s">
        <v>117</v>
      </c>
      <c r="B41" s="50"/>
      <c r="C41" s="146"/>
      <c r="D41" s="106"/>
      <c r="E41" s="147"/>
      <c r="F41" s="65"/>
      <c r="G41" s="133"/>
      <c r="H41" s="106"/>
      <c r="I41" s="106"/>
      <c r="J41" s="106"/>
      <c r="K41" s="106"/>
      <c r="L41" s="106"/>
      <c r="M41" s="106"/>
    </row>
    <row r="42" spans="1:13" s="24" customFormat="1" ht="20.100000000000001" customHeight="1" x14ac:dyDescent="0.2">
      <c r="A42" s="228" t="s">
        <v>246</v>
      </c>
      <c r="B42" s="50"/>
      <c r="C42" s="146"/>
      <c r="D42" s="106"/>
      <c r="E42" s="147"/>
      <c r="F42" s="65"/>
      <c r="G42" s="133"/>
      <c r="H42" s="106"/>
      <c r="I42" s="106"/>
      <c r="J42" s="106"/>
      <c r="K42" s="106"/>
      <c r="L42" s="106"/>
      <c r="M42" s="106"/>
    </row>
    <row r="43" spans="1:13" s="24" customFormat="1" ht="20.100000000000001" customHeight="1" x14ac:dyDescent="0.2">
      <c r="A43" s="228" t="s">
        <v>247</v>
      </c>
      <c r="B43" s="50"/>
      <c r="C43" s="146"/>
      <c r="D43" s="106"/>
      <c r="E43" s="147"/>
      <c r="F43" s="65"/>
      <c r="G43" s="133"/>
      <c r="H43" s="106"/>
      <c r="I43" s="106"/>
      <c r="J43" s="106"/>
      <c r="K43" s="106"/>
      <c r="L43" s="106"/>
      <c r="M43" s="106"/>
    </row>
    <row r="44" spans="1:13" s="24" customFormat="1" ht="20.100000000000001" customHeight="1" x14ac:dyDescent="0.2">
      <c r="A44" s="228" t="s">
        <v>227</v>
      </c>
      <c r="B44" s="50"/>
      <c r="C44" s="146"/>
      <c r="D44" s="106"/>
      <c r="E44" s="147"/>
      <c r="F44" s="65"/>
      <c r="G44" s="133"/>
      <c r="H44" s="106"/>
      <c r="I44" s="106"/>
      <c r="J44" s="106"/>
      <c r="K44" s="106"/>
      <c r="L44" s="106"/>
      <c r="M44" s="106"/>
    </row>
    <row r="45" spans="1:13" s="24" customFormat="1" ht="20.100000000000001" customHeight="1" x14ac:dyDescent="0.2">
      <c r="A45" s="228" t="s">
        <v>228</v>
      </c>
      <c r="B45" s="50"/>
      <c r="C45" s="146"/>
      <c r="D45" s="106"/>
      <c r="E45" s="147"/>
      <c r="F45" s="65"/>
      <c r="G45" s="133"/>
      <c r="H45" s="106"/>
      <c r="I45" s="106"/>
      <c r="J45" s="106"/>
      <c r="K45" s="106"/>
      <c r="L45" s="106"/>
      <c r="M45" s="106"/>
    </row>
    <row r="46" spans="1:13" s="24" customFormat="1" ht="20.100000000000001" customHeight="1" x14ac:dyDescent="0.2">
      <c r="A46" s="228" t="s">
        <v>237</v>
      </c>
      <c r="B46" s="50"/>
      <c r="C46" s="146"/>
      <c r="D46" s="106"/>
      <c r="E46" s="147"/>
      <c r="F46" s="65"/>
      <c r="G46" s="133"/>
      <c r="H46" s="106"/>
      <c r="I46" s="106"/>
      <c r="J46" s="106"/>
      <c r="K46" s="106"/>
      <c r="L46" s="106"/>
      <c r="M46" s="106"/>
    </row>
    <row r="47" spans="1:13" s="24" customFormat="1" ht="20.100000000000001" customHeight="1" x14ac:dyDescent="0.2">
      <c r="A47" s="228" t="s">
        <v>226</v>
      </c>
      <c r="B47" s="50"/>
      <c r="C47" s="146"/>
      <c r="D47" s="106"/>
      <c r="E47" s="147"/>
      <c r="F47" s="65"/>
      <c r="G47" s="133"/>
      <c r="H47" s="106"/>
      <c r="I47" s="106"/>
      <c r="J47" s="106"/>
      <c r="K47" s="106"/>
      <c r="L47" s="106"/>
      <c r="M47" s="106"/>
    </row>
    <row r="48" spans="1:13" s="24" customFormat="1" ht="20.100000000000001" customHeight="1" x14ac:dyDescent="0.2">
      <c r="A48" s="228" t="s">
        <v>230</v>
      </c>
      <c r="B48" s="50"/>
      <c r="C48" s="146"/>
      <c r="D48" s="106"/>
      <c r="E48" s="147"/>
      <c r="F48" s="65"/>
      <c r="G48" s="133"/>
      <c r="H48" s="106"/>
      <c r="I48" s="106"/>
      <c r="J48" s="106"/>
      <c r="K48" s="106"/>
      <c r="L48" s="106"/>
      <c r="M48" s="106"/>
    </row>
    <row r="49" spans="1:13" s="24" customFormat="1" ht="20.100000000000001" customHeight="1" x14ac:dyDescent="0.2">
      <c r="A49" s="228" t="s">
        <v>118</v>
      </c>
      <c r="B49" s="227"/>
      <c r="C49" s="146"/>
      <c r="D49" s="106"/>
      <c r="E49" s="147"/>
      <c r="F49" s="65"/>
      <c r="G49" s="133"/>
      <c r="H49" s="106"/>
      <c r="I49" s="106"/>
      <c r="J49" s="106"/>
      <c r="K49" s="106"/>
      <c r="L49" s="106"/>
      <c r="M49" s="106"/>
    </row>
    <row r="50" spans="1:13" s="24" customFormat="1" ht="20.100000000000001" customHeight="1" x14ac:dyDescent="0.2">
      <c r="A50" s="228" t="s">
        <v>119</v>
      </c>
      <c r="B50" s="227"/>
      <c r="C50" s="146"/>
      <c r="D50" s="106"/>
      <c r="E50" s="147"/>
      <c r="F50" s="65"/>
      <c r="G50" s="133"/>
      <c r="H50" s="106"/>
      <c r="I50" s="106"/>
      <c r="J50" s="106"/>
      <c r="K50" s="106"/>
      <c r="L50" s="106"/>
      <c r="M50" s="106"/>
    </row>
    <row r="51" spans="1:13" s="24" customFormat="1" ht="15.75" x14ac:dyDescent="0.2">
      <c r="A51" s="34"/>
      <c r="B51" s="313"/>
      <c r="C51" s="146"/>
      <c r="D51" s="106"/>
      <c r="E51" s="147"/>
      <c r="F51" s="65"/>
      <c r="G51" s="133"/>
      <c r="H51" s="106"/>
      <c r="I51" s="106"/>
      <c r="J51" s="106"/>
      <c r="K51" s="106"/>
      <c r="L51" s="106"/>
      <c r="M51" s="106"/>
    </row>
    <row r="52" spans="1:13" s="24" customFormat="1" ht="15.75" x14ac:dyDescent="0.2">
      <c r="A52" s="34"/>
      <c r="B52" s="64"/>
      <c r="C52" s="146"/>
      <c r="D52" s="106"/>
      <c r="E52" s="147"/>
      <c r="F52" s="65"/>
      <c r="G52" s="133"/>
      <c r="H52" s="106"/>
      <c r="I52" s="106"/>
      <c r="J52" s="106"/>
      <c r="K52" s="106"/>
      <c r="L52" s="106"/>
      <c r="M52" s="106"/>
    </row>
    <row r="53" spans="1:13" s="24" customFormat="1" ht="15.75" x14ac:dyDescent="0.2">
      <c r="A53" s="34" t="s">
        <v>114</v>
      </c>
      <c r="B53" s="64"/>
      <c r="C53" s="146"/>
      <c r="D53" s="106"/>
      <c r="E53" s="147"/>
      <c r="F53" s="65"/>
      <c r="G53" s="133"/>
      <c r="H53" s="106"/>
      <c r="I53" s="106"/>
      <c r="J53" s="106"/>
      <c r="K53" s="106"/>
      <c r="L53" s="106"/>
      <c r="M53" s="106"/>
    </row>
    <row r="54" spans="1:13" s="24" customFormat="1" ht="15.75" x14ac:dyDescent="0.2">
      <c r="A54" s="34"/>
      <c r="B54" s="64"/>
      <c r="C54" s="146"/>
      <c r="D54" s="106"/>
      <c r="E54" s="147"/>
      <c r="F54" s="65"/>
      <c r="G54" s="133"/>
      <c r="H54" s="106"/>
      <c r="I54" s="106"/>
      <c r="J54" s="106"/>
      <c r="K54" s="106"/>
      <c r="L54" s="106"/>
      <c r="M54" s="106"/>
    </row>
    <row r="55" spans="1:13" s="98" customFormat="1" ht="50.25" customHeight="1" x14ac:dyDescent="0.2">
      <c r="A55" s="230"/>
      <c r="B55" s="47" t="s">
        <v>173</v>
      </c>
      <c r="C55" s="226" t="s">
        <v>174</v>
      </c>
      <c r="D55" s="226" t="s">
        <v>115</v>
      </c>
      <c r="E55" s="11" t="s">
        <v>120</v>
      </c>
      <c r="F55" s="231" t="s">
        <v>121</v>
      </c>
      <c r="G55" s="11" t="s">
        <v>122</v>
      </c>
      <c r="H55" s="5"/>
      <c r="I55" s="5"/>
      <c r="J55" s="5"/>
      <c r="K55" s="5"/>
      <c r="L55" s="5"/>
    </row>
    <row r="56" spans="1:13" s="24" customFormat="1" ht="20.100000000000001" customHeight="1" x14ac:dyDescent="0.2">
      <c r="A56" s="228" t="s">
        <v>238</v>
      </c>
      <c r="B56" s="127"/>
      <c r="C56" s="50"/>
      <c r="D56" s="50"/>
      <c r="E56" s="50"/>
      <c r="F56" s="50"/>
      <c r="G56" s="50"/>
      <c r="H56" s="106"/>
      <c r="I56" s="106"/>
      <c r="J56" s="106"/>
      <c r="K56" s="106"/>
      <c r="L56" s="106"/>
    </row>
    <row r="57" spans="1:13" s="24" customFormat="1" ht="20.100000000000001" customHeight="1" x14ac:dyDescent="0.2">
      <c r="A57" s="228" t="s">
        <v>231</v>
      </c>
      <c r="B57" s="127"/>
      <c r="C57" s="50"/>
      <c r="D57" s="50"/>
      <c r="E57" s="50"/>
      <c r="F57" s="50"/>
      <c r="G57" s="50"/>
      <c r="H57" s="106"/>
      <c r="I57" s="106"/>
      <c r="J57" s="106"/>
      <c r="K57" s="106"/>
      <c r="L57" s="106"/>
    </row>
    <row r="58" spans="1:13" s="24" customFormat="1" ht="20.100000000000001" customHeight="1" x14ac:dyDescent="0.2">
      <c r="A58" s="228" t="s">
        <v>229</v>
      </c>
      <c r="B58" s="127"/>
      <c r="C58" s="50"/>
      <c r="D58" s="50"/>
      <c r="E58" s="50"/>
      <c r="F58" s="50"/>
      <c r="G58" s="50"/>
      <c r="H58" s="106"/>
      <c r="I58" s="106"/>
      <c r="J58" s="106"/>
      <c r="K58" s="106"/>
      <c r="L58" s="106"/>
    </row>
    <row r="59" spans="1:13" s="24" customFormat="1" ht="20.100000000000001" customHeight="1" x14ac:dyDescent="0.2">
      <c r="A59" s="232" t="s">
        <v>1</v>
      </c>
      <c r="B59" s="127"/>
      <c r="C59" s="50"/>
      <c r="D59" s="50"/>
      <c r="E59" s="46"/>
      <c r="F59" s="50"/>
      <c r="G59" s="50"/>
      <c r="H59" s="106"/>
      <c r="I59" s="106"/>
      <c r="J59" s="106"/>
      <c r="K59" s="106"/>
      <c r="L59" s="106"/>
    </row>
    <row r="60" spans="1:13" s="24" customFormat="1" ht="20.100000000000001" customHeight="1" x14ac:dyDescent="0.2">
      <c r="A60" s="232" t="s">
        <v>102</v>
      </c>
      <c r="B60" s="127"/>
      <c r="C60" s="50"/>
      <c r="D60" s="50"/>
      <c r="E60" s="46"/>
      <c r="F60" s="50"/>
      <c r="G60" s="50"/>
      <c r="H60" s="106"/>
      <c r="I60" s="106"/>
      <c r="J60" s="106"/>
      <c r="K60" s="106"/>
      <c r="L60" s="106"/>
    </row>
    <row r="61" spans="1:13" s="24" customFormat="1" ht="20.100000000000001" customHeight="1" x14ac:dyDescent="0.2">
      <c r="A61" s="232" t="s">
        <v>194</v>
      </c>
      <c r="B61" s="127"/>
      <c r="C61" s="50"/>
      <c r="D61" s="50"/>
      <c r="E61" s="373"/>
      <c r="F61" s="50"/>
      <c r="G61" s="50"/>
      <c r="H61" s="106"/>
      <c r="I61" s="105"/>
      <c r="J61" s="106"/>
      <c r="K61" s="106"/>
      <c r="L61" s="106"/>
    </row>
    <row r="62" spans="1:13" s="24" customFormat="1" ht="15.75" x14ac:dyDescent="0.2">
      <c r="A62" s="34"/>
      <c r="B62" s="64"/>
      <c r="C62" s="146"/>
      <c r="D62" s="106"/>
      <c r="E62" s="147"/>
      <c r="F62" s="65"/>
      <c r="G62" s="133"/>
      <c r="H62" s="106"/>
      <c r="I62" s="106"/>
      <c r="J62" s="106"/>
      <c r="K62" s="106"/>
      <c r="L62" s="106"/>
      <c r="M62" s="106"/>
    </row>
    <row r="63" spans="1:13" s="24" customFormat="1" ht="18.75" x14ac:dyDescent="0.2">
      <c r="A63" s="281" t="s">
        <v>74</v>
      </c>
      <c r="B63" s="64"/>
      <c r="C63" s="63"/>
      <c r="D63" s="64"/>
      <c r="E63" s="65"/>
      <c r="F63" s="65"/>
      <c r="G63" s="134"/>
      <c r="H63" s="106"/>
      <c r="I63" s="106"/>
      <c r="J63" s="106"/>
      <c r="K63" s="106"/>
      <c r="L63" s="106"/>
      <c r="M63" s="106"/>
    </row>
    <row r="64" spans="1:13" s="24" customFormat="1" ht="16.5" thickBot="1" x14ac:dyDescent="0.25">
      <c r="A64" s="34"/>
      <c r="B64" s="64"/>
      <c r="C64" s="63"/>
      <c r="D64" s="64"/>
      <c r="E64" s="65"/>
      <c r="F64" s="65"/>
      <c r="G64" s="134"/>
      <c r="H64" s="106"/>
      <c r="I64" s="106"/>
      <c r="J64" s="106"/>
      <c r="K64" s="106"/>
      <c r="L64" s="106"/>
      <c r="M64" s="106"/>
    </row>
    <row r="65" spans="1:21" s="24" customFormat="1" ht="22.5" customHeight="1" thickTop="1" thickBot="1" x14ac:dyDescent="0.25">
      <c r="A65" s="35" t="s">
        <v>3</v>
      </c>
      <c r="B65" s="107"/>
      <c r="C65" s="378" t="s">
        <v>4</v>
      </c>
      <c r="D65" s="379"/>
      <c r="E65" s="379"/>
      <c r="F65" s="379"/>
      <c r="G65" s="379"/>
      <c r="H65" s="379"/>
      <c r="I65" s="379"/>
      <c r="J65" s="379"/>
      <c r="K65" s="379"/>
      <c r="L65" s="379"/>
      <c r="M65" s="380"/>
    </row>
    <row r="66" spans="1:21" s="5" customFormat="1" ht="79.5" thickTop="1" x14ac:dyDescent="0.2">
      <c r="A66" s="1"/>
      <c r="B66" s="2" t="s">
        <v>5</v>
      </c>
      <c r="C66" s="148" t="s">
        <v>6</v>
      </c>
      <c r="D66" s="149" t="s">
        <v>7</v>
      </c>
      <c r="E66" s="3" t="s">
        <v>8</v>
      </c>
      <c r="F66" s="3" t="s">
        <v>151</v>
      </c>
      <c r="G66" s="3" t="s">
        <v>9</v>
      </c>
      <c r="H66" s="3" t="s">
        <v>202</v>
      </c>
      <c r="I66" s="4" t="s">
        <v>10</v>
      </c>
      <c r="J66" s="4" t="s">
        <v>11</v>
      </c>
      <c r="K66" s="4" t="s">
        <v>12</v>
      </c>
      <c r="L66" s="4" t="s">
        <v>13</v>
      </c>
      <c r="M66" s="2" t="s">
        <v>14</v>
      </c>
    </row>
    <row r="67" spans="1:21" s="5" customFormat="1" ht="30.75" customHeight="1" x14ac:dyDescent="0.2">
      <c r="A67" s="38" t="s">
        <v>15</v>
      </c>
      <c r="B67" s="6"/>
      <c r="C67" s="150"/>
      <c r="D67" s="151"/>
      <c r="E67" s="7"/>
      <c r="F67" s="7"/>
      <c r="G67" s="143"/>
      <c r="H67" s="7"/>
      <c r="I67" s="8"/>
      <c r="J67" s="8"/>
      <c r="K67" s="8"/>
      <c r="L67" s="8"/>
      <c r="M67" s="6"/>
      <c r="U67" s="5">
        <f>800-290</f>
        <v>510</v>
      </c>
    </row>
    <row r="68" spans="1:21" s="5" customFormat="1" ht="17.100000000000001" customHeight="1" x14ac:dyDescent="0.2">
      <c r="A68" s="315" t="s">
        <v>69</v>
      </c>
      <c r="B68" s="39"/>
      <c r="C68" s="152"/>
      <c r="D68" s="153"/>
      <c r="E68" s="9"/>
      <c r="F68" s="9"/>
      <c r="G68" s="9"/>
      <c r="H68" s="9"/>
      <c r="I68" s="14"/>
      <c r="J68" s="14"/>
      <c r="K68" s="14"/>
      <c r="L68" s="14"/>
      <c r="M68" s="40"/>
    </row>
    <row r="69" spans="1:21" s="48" customFormat="1" ht="36.75" customHeight="1" x14ac:dyDescent="0.2">
      <c r="A69" s="44" t="s">
        <v>16</v>
      </c>
      <c r="B69" s="45"/>
      <c r="C69" s="155"/>
      <c r="D69" s="156"/>
      <c r="E69" s="46"/>
      <c r="F69" s="46"/>
      <c r="G69" s="46"/>
      <c r="H69" s="46"/>
      <c r="I69" s="47"/>
      <c r="J69" s="47"/>
      <c r="K69" s="47"/>
      <c r="L69" s="47"/>
      <c r="M69" s="45"/>
      <c r="O69" s="5"/>
    </row>
    <row r="70" spans="1:21" s="48" customFormat="1" ht="17.100000000000001" customHeight="1" x14ac:dyDescent="0.2">
      <c r="A70" s="44" t="s">
        <v>78</v>
      </c>
      <c r="B70" s="45"/>
      <c r="C70" s="155"/>
      <c r="D70" s="156"/>
      <c r="E70" s="46"/>
      <c r="F70" s="46"/>
      <c r="G70" s="46"/>
      <c r="H70" s="46"/>
      <c r="I70" s="47"/>
      <c r="J70" s="47"/>
      <c r="K70" s="47"/>
      <c r="L70" s="47"/>
      <c r="M70" s="45"/>
      <c r="O70" s="5"/>
    </row>
    <row r="71" spans="1:21" s="48" customFormat="1" ht="17.100000000000001" customHeight="1" x14ac:dyDescent="0.2">
      <c r="A71" s="44"/>
      <c r="B71" s="45"/>
      <c r="C71" s="155"/>
      <c r="D71" s="156"/>
      <c r="E71" s="46"/>
      <c r="F71" s="46"/>
      <c r="G71" s="46"/>
      <c r="H71" s="46"/>
      <c r="I71" s="47"/>
      <c r="J71" s="47"/>
      <c r="K71" s="47"/>
      <c r="L71" s="47"/>
      <c r="M71" s="45"/>
      <c r="O71" s="5"/>
    </row>
    <row r="72" spans="1:21" s="48" customFormat="1" ht="17.100000000000001" hidden="1" customHeight="1" x14ac:dyDescent="0.2">
      <c r="A72" s="38" t="s">
        <v>243</v>
      </c>
      <c r="B72" s="45"/>
      <c r="C72" s="155"/>
      <c r="D72" s="156"/>
      <c r="E72" s="46"/>
      <c r="F72" s="46"/>
      <c r="G72" s="46"/>
      <c r="H72" s="46"/>
      <c r="I72" s="47"/>
      <c r="J72" s="47"/>
      <c r="K72" s="47"/>
      <c r="L72" s="47"/>
      <c r="M72" s="45"/>
      <c r="O72" s="5"/>
    </row>
    <row r="73" spans="1:21" s="48" customFormat="1" ht="17.100000000000001" hidden="1" customHeight="1" x14ac:dyDescent="0.2">
      <c r="A73" s="44"/>
      <c r="B73" s="45"/>
      <c r="C73" s="155"/>
      <c r="D73" s="156"/>
      <c r="E73" s="46"/>
      <c r="F73" s="46"/>
      <c r="G73" s="46"/>
      <c r="H73" s="46"/>
      <c r="I73" s="47"/>
      <c r="J73" s="47"/>
      <c r="K73" s="47"/>
      <c r="L73" s="47"/>
      <c r="M73" s="45"/>
      <c r="O73" s="5"/>
    </row>
    <row r="74" spans="1:21" s="24" customFormat="1" ht="17.100000000000001" customHeight="1" x14ac:dyDescent="0.2">
      <c r="A74" s="49"/>
      <c r="B74" s="40"/>
      <c r="C74" s="157"/>
      <c r="D74" s="153"/>
      <c r="E74" s="50"/>
      <c r="F74" s="50"/>
      <c r="G74" s="50"/>
      <c r="H74" s="50"/>
      <c r="I74" s="14"/>
      <c r="J74" s="14"/>
      <c r="K74" s="14"/>
      <c r="L74" s="14"/>
      <c r="M74" s="40"/>
      <c r="O74" s="5"/>
    </row>
    <row r="75" spans="1:21" s="24" customFormat="1" ht="17.100000000000001" customHeight="1" x14ac:dyDescent="0.2">
      <c r="A75" s="38" t="s">
        <v>17</v>
      </c>
      <c r="B75" s="40"/>
      <c r="C75" s="157"/>
      <c r="D75" s="153"/>
      <c r="E75" s="50"/>
      <c r="F75" s="50"/>
      <c r="G75" s="50"/>
      <c r="H75" s="50"/>
      <c r="I75" s="14"/>
      <c r="J75" s="14"/>
      <c r="K75" s="14"/>
      <c r="L75" s="14"/>
      <c r="M75" s="40"/>
      <c r="O75" s="5"/>
    </row>
    <row r="76" spans="1:21" s="24" customFormat="1" ht="17.100000000000001" customHeight="1" x14ac:dyDescent="0.2">
      <c r="A76" s="315" t="s">
        <v>69</v>
      </c>
      <c r="B76" s="40"/>
      <c r="C76" s="152"/>
      <c r="D76" s="153"/>
      <c r="E76" s="50"/>
      <c r="F76" s="9"/>
      <c r="G76" s="50"/>
      <c r="H76" s="9"/>
      <c r="I76" s="14"/>
      <c r="J76" s="14"/>
      <c r="K76" s="14"/>
      <c r="L76" s="14"/>
      <c r="M76" s="40"/>
      <c r="O76" s="5"/>
    </row>
    <row r="77" spans="1:21" s="100" customFormat="1" ht="17.100000000000001" customHeight="1" x14ac:dyDescent="0.2">
      <c r="A77" s="316" t="s">
        <v>72</v>
      </c>
      <c r="B77" s="43"/>
      <c r="C77" s="158"/>
      <c r="D77" s="154"/>
      <c r="E77" s="159"/>
      <c r="F77" s="41"/>
      <c r="G77" s="136"/>
      <c r="H77" s="41"/>
      <c r="I77" s="42"/>
      <c r="J77" s="42"/>
      <c r="K77" s="42"/>
      <c r="L77" s="42"/>
      <c r="M77" s="43"/>
    </row>
    <row r="78" spans="1:21" s="48" customFormat="1" ht="17.100000000000001" customHeight="1" x14ac:dyDescent="0.2">
      <c r="A78" s="51" t="s">
        <v>18</v>
      </c>
      <c r="B78" s="52"/>
      <c r="C78" s="155"/>
      <c r="D78" s="160"/>
      <c r="E78" s="46"/>
      <c r="F78" s="46"/>
      <c r="G78" s="135"/>
      <c r="H78" s="7"/>
      <c r="I78" s="7"/>
      <c r="J78" s="7"/>
      <c r="K78" s="7"/>
      <c r="L78" s="7"/>
      <c r="M78" s="45"/>
      <c r="O78" s="53"/>
    </row>
    <row r="79" spans="1:21" s="48" customFormat="1" ht="17.100000000000001" customHeight="1" thickBot="1" x14ac:dyDescent="0.25">
      <c r="A79" s="51" t="s">
        <v>19</v>
      </c>
      <c r="B79" s="52"/>
      <c r="C79" s="155"/>
      <c r="D79" s="160"/>
      <c r="E79" s="46"/>
      <c r="F79" s="46"/>
      <c r="G79" s="135"/>
      <c r="H79" s="46"/>
      <c r="I79" s="47"/>
      <c r="J79" s="231"/>
      <c r="K79" s="47"/>
      <c r="L79" s="47"/>
      <c r="M79" s="45"/>
    </row>
    <row r="80" spans="1:21" s="48" customFormat="1" ht="17.100000000000001" customHeight="1" thickTop="1" x14ac:dyDescent="0.2">
      <c r="A80" s="54" t="s">
        <v>20</v>
      </c>
      <c r="B80" s="56"/>
      <c r="C80" s="161"/>
      <c r="D80" s="162"/>
      <c r="E80" s="55"/>
      <c r="F80" s="55"/>
      <c r="G80" s="137"/>
      <c r="H80" s="55"/>
      <c r="I80" s="3"/>
      <c r="J80" s="3"/>
      <c r="K80" s="3"/>
      <c r="L80" s="3"/>
      <c r="M80" s="56"/>
    </row>
    <row r="81" spans="1:27" s="24" customFormat="1" ht="17.100000000000001" customHeight="1" thickBot="1" x14ac:dyDescent="0.25">
      <c r="A81" s="57" t="s">
        <v>21</v>
      </c>
      <c r="B81" s="317"/>
      <c r="C81" s="163"/>
      <c r="D81" s="164"/>
      <c r="E81" s="58"/>
      <c r="F81" s="58"/>
      <c r="G81" s="138"/>
      <c r="H81" s="58"/>
      <c r="I81" s="362"/>
      <c r="J81" s="59"/>
      <c r="K81" s="59"/>
      <c r="L81" s="60"/>
      <c r="M81" s="61"/>
    </row>
    <row r="82" spans="1:27" s="24" customFormat="1" ht="17.100000000000001" customHeight="1" thickTop="1" x14ac:dyDescent="0.2">
      <c r="A82" s="62"/>
      <c r="B82" s="63"/>
      <c r="C82" s="64"/>
      <c r="D82" s="64"/>
      <c r="E82" s="65"/>
      <c r="F82" s="65"/>
      <c r="G82" s="133"/>
      <c r="H82" s="65"/>
      <c r="I82" s="21"/>
      <c r="J82" s="21"/>
      <c r="K82" s="21"/>
      <c r="L82" s="22"/>
      <c r="M82" s="22"/>
    </row>
    <row r="83" spans="1:27" s="24" customFormat="1" ht="17.100000000000001" customHeight="1" x14ac:dyDescent="0.2">
      <c r="A83" s="62"/>
      <c r="B83" s="63"/>
      <c r="C83" s="64"/>
      <c r="D83" s="64"/>
      <c r="E83" s="65"/>
      <c r="F83" s="65"/>
      <c r="G83" s="133"/>
      <c r="H83" s="65"/>
      <c r="I83" s="21"/>
      <c r="J83" s="21"/>
      <c r="K83" s="21"/>
      <c r="L83" s="22"/>
      <c r="M83" s="22"/>
    </row>
    <row r="84" spans="1:27" s="24" customFormat="1" ht="17.100000000000001" customHeight="1" thickBot="1" x14ac:dyDescent="0.25">
      <c r="A84" s="62"/>
      <c r="B84" s="63"/>
      <c r="C84" s="64"/>
      <c r="D84" s="64"/>
      <c r="E84" s="65"/>
      <c r="F84" s="65"/>
      <c r="G84" s="133"/>
      <c r="H84" s="21"/>
      <c r="I84" s="21"/>
      <c r="J84" s="22"/>
      <c r="K84" s="22"/>
      <c r="L84" s="22"/>
      <c r="M84" s="22"/>
      <c r="N84" s="22"/>
      <c r="O84" s="22"/>
      <c r="P84" s="23"/>
      <c r="Q84" s="23"/>
      <c r="R84" s="23"/>
      <c r="S84" s="23"/>
    </row>
    <row r="85" spans="1:27" s="24" customFormat="1" ht="18.75" customHeight="1" thickTop="1" thickBot="1" x14ac:dyDescent="0.25">
      <c r="A85" s="35" t="s">
        <v>3</v>
      </c>
      <c r="B85" s="107"/>
      <c r="C85" s="184"/>
      <c r="D85" s="184" t="s">
        <v>22</v>
      </c>
      <c r="E85" s="36"/>
      <c r="F85" s="36"/>
      <c r="G85" s="37"/>
      <c r="H85" s="22"/>
      <c r="I85" s="22"/>
      <c r="J85" s="22"/>
      <c r="K85" s="22"/>
      <c r="L85" s="22"/>
      <c r="M85" s="22"/>
      <c r="N85" s="23"/>
      <c r="O85" s="23"/>
      <c r="P85" s="23"/>
      <c r="Q85" s="23"/>
    </row>
    <row r="86" spans="1:27" s="24" customFormat="1" ht="83.45" customHeight="1" thickTop="1" x14ac:dyDescent="0.2">
      <c r="A86" s="1"/>
      <c r="B86" s="2" t="s">
        <v>5</v>
      </c>
      <c r="C86" s="165" t="s">
        <v>215</v>
      </c>
      <c r="D86" s="165" t="s">
        <v>248</v>
      </c>
      <c r="E86" s="4" t="s">
        <v>23</v>
      </c>
      <c r="F86" s="4" t="s">
        <v>205</v>
      </c>
      <c r="G86" s="2" t="s">
        <v>24</v>
      </c>
      <c r="H86" s="22"/>
      <c r="I86" s="22"/>
      <c r="J86" s="22"/>
      <c r="K86" s="22"/>
      <c r="L86" s="22"/>
      <c r="M86" s="22"/>
      <c r="N86" s="23"/>
      <c r="O86" s="23"/>
      <c r="P86" s="23"/>
      <c r="Q86" s="23"/>
    </row>
    <row r="87" spans="1:27" s="24" customFormat="1" ht="22.5" customHeight="1" x14ac:dyDescent="0.2">
      <c r="A87" s="49" t="s">
        <v>15</v>
      </c>
      <c r="B87" s="40"/>
      <c r="C87" s="167"/>
      <c r="D87" s="217"/>
      <c r="E87" s="14"/>
      <c r="F87" s="166"/>
      <c r="G87" s="40"/>
      <c r="H87" s="22"/>
      <c r="I87" s="22"/>
      <c r="J87" s="22"/>
      <c r="K87" s="22"/>
      <c r="L87" s="22"/>
      <c r="M87" s="22"/>
      <c r="N87" s="23"/>
      <c r="O87" s="23"/>
      <c r="P87" s="23"/>
      <c r="Q87" s="23"/>
    </row>
    <row r="88" spans="1:27" s="24" customFormat="1" ht="20.100000000000001" customHeight="1" x14ac:dyDescent="0.2">
      <c r="A88" s="49"/>
      <c r="B88" s="40"/>
      <c r="C88" s="167"/>
      <c r="D88" s="217"/>
      <c r="E88" s="14"/>
      <c r="F88" s="166"/>
      <c r="G88" s="40"/>
      <c r="H88" s="22"/>
      <c r="I88" s="22"/>
      <c r="J88" s="22"/>
      <c r="K88" s="22"/>
      <c r="L88" s="22"/>
      <c r="M88" s="22"/>
      <c r="N88" s="23"/>
      <c r="O88" s="23"/>
      <c r="P88" s="23"/>
      <c r="Q88" s="23"/>
    </row>
    <row r="89" spans="1:27" s="24" customFormat="1" ht="20.100000000000001" hidden="1" customHeight="1" x14ac:dyDescent="0.2">
      <c r="A89" s="49" t="s">
        <v>243</v>
      </c>
      <c r="B89" s="40"/>
      <c r="C89" s="167"/>
      <c r="D89" s="217"/>
      <c r="E89" s="14"/>
      <c r="F89" s="166"/>
      <c r="G89" s="40"/>
      <c r="H89" s="22"/>
      <c r="I89" s="22"/>
      <c r="J89" s="22"/>
      <c r="K89" s="22"/>
      <c r="L89" s="22"/>
      <c r="M89" s="22"/>
      <c r="N89" s="23"/>
      <c r="O89" s="23"/>
      <c r="P89" s="23"/>
      <c r="Q89" s="23"/>
    </row>
    <row r="90" spans="1:27" s="24" customFormat="1" ht="20.100000000000001" hidden="1" customHeight="1" x14ac:dyDescent="0.2">
      <c r="A90" s="49"/>
      <c r="B90" s="40"/>
      <c r="C90" s="167"/>
      <c r="D90" s="217"/>
      <c r="E90" s="14"/>
      <c r="F90" s="166"/>
      <c r="G90" s="40"/>
      <c r="H90" s="22"/>
      <c r="I90" s="22"/>
      <c r="J90" s="22"/>
      <c r="K90" s="22"/>
      <c r="L90" s="22"/>
      <c r="M90" s="22"/>
      <c r="N90" s="23"/>
      <c r="O90" s="23"/>
      <c r="P90" s="23"/>
      <c r="Q90" s="23"/>
    </row>
    <row r="91" spans="1:27" s="24" customFormat="1" ht="17.100000000000001" hidden="1" customHeight="1" x14ac:dyDescent="0.2">
      <c r="A91" s="49"/>
      <c r="B91" s="40"/>
      <c r="C91" s="217"/>
      <c r="D91" s="217"/>
      <c r="E91" s="14"/>
      <c r="F91" s="166"/>
      <c r="G91" s="40"/>
      <c r="H91" s="22"/>
      <c r="I91" s="22"/>
      <c r="J91" s="22"/>
      <c r="K91" s="22"/>
      <c r="L91" s="22"/>
      <c r="M91" s="22"/>
      <c r="N91" s="23"/>
      <c r="O91" s="23"/>
      <c r="P91" s="23"/>
      <c r="Q91" s="23"/>
    </row>
    <row r="92" spans="1:27" s="24" customFormat="1" ht="17.100000000000001" customHeight="1" x14ac:dyDescent="0.2">
      <c r="A92" s="38" t="s">
        <v>17</v>
      </c>
      <c r="B92" s="40"/>
      <c r="C92" s="217"/>
      <c r="D92" s="217"/>
      <c r="E92" s="14"/>
      <c r="F92" s="166"/>
      <c r="G92" s="40"/>
      <c r="H92" s="22"/>
      <c r="I92" s="22"/>
      <c r="J92" s="22"/>
      <c r="K92" s="22"/>
      <c r="L92" s="22"/>
      <c r="M92" s="22"/>
      <c r="N92" s="23"/>
      <c r="O92" s="23"/>
      <c r="P92" s="23"/>
      <c r="Q92" s="23"/>
    </row>
    <row r="93" spans="1:27" s="24" customFormat="1" ht="17.100000000000001" customHeight="1" x14ac:dyDescent="0.2">
      <c r="A93" s="315" t="s">
        <v>69</v>
      </c>
      <c r="B93" s="40"/>
      <c r="C93" s="167"/>
      <c r="D93" s="217"/>
      <c r="E93" s="14"/>
      <c r="F93" s="166"/>
      <c r="G93" s="40"/>
      <c r="H93" s="22"/>
      <c r="I93" s="22"/>
      <c r="J93" s="22"/>
      <c r="K93" s="22"/>
      <c r="L93" s="22"/>
      <c r="M93" s="22"/>
      <c r="N93" s="23"/>
      <c r="O93" s="23"/>
      <c r="P93" s="23"/>
      <c r="Q93" s="23"/>
    </row>
    <row r="94" spans="1:27" s="24" customFormat="1" ht="17.100000000000001" customHeight="1" x14ac:dyDescent="0.2">
      <c r="A94" s="316" t="s">
        <v>72</v>
      </c>
      <c r="B94" s="43"/>
      <c r="C94" s="167"/>
      <c r="D94" s="217"/>
      <c r="E94" s="42"/>
      <c r="F94" s="166"/>
      <c r="G94" s="43"/>
      <c r="H94" s="22"/>
      <c r="I94" s="22"/>
      <c r="J94" s="22"/>
      <c r="K94" s="22"/>
      <c r="L94" s="22"/>
      <c r="M94" s="22"/>
      <c r="N94" s="23"/>
      <c r="O94" s="23"/>
      <c r="P94" s="23"/>
      <c r="Q94" s="23"/>
    </row>
    <row r="95" spans="1:27" s="24" customFormat="1" ht="17.100000000000001" customHeight="1" x14ac:dyDescent="0.2">
      <c r="A95" s="324"/>
      <c r="B95" s="43"/>
      <c r="C95" s="167"/>
      <c r="D95" s="374"/>
      <c r="E95" s="42"/>
      <c r="F95" s="14"/>
      <c r="G95" s="43"/>
      <c r="H95" s="22"/>
      <c r="I95" s="22"/>
      <c r="J95" s="22"/>
      <c r="K95" s="22"/>
      <c r="L95" s="22"/>
      <c r="M95" s="22"/>
      <c r="N95" s="23"/>
      <c r="O95" s="23"/>
      <c r="P95" s="23"/>
      <c r="Q95" s="23"/>
    </row>
    <row r="96" spans="1:27" s="24" customFormat="1" ht="17.100000000000001" customHeight="1" x14ac:dyDescent="0.2">
      <c r="A96" s="66" t="s">
        <v>18</v>
      </c>
      <c r="B96" s="40"/>
      <c r="C96" s="167"/>
      <c r="D96" s="167"/>
      <c r="E96" s="14"/>
      <c r="F96" s="14"/>
      <c r="G96" s="40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</row>
    <row r="97" spans="1:27" s="24" customFormat="1" ht="17.100000000000001" customHeight="1" thickBot="1" x14ac:dyDescent="0.25">
      <c r="A97" s="66"/>
      <c r="B97" s="40"/>
      <c r="C97" s="167"/>
      <c r="D97" s="167"/>
      <c r="E97" s="166"/>
      <c r="F97" s="14"/>
      <c r="G97" s="40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</row>
    <row r="98" spans="1:27" s="24" customFormat="1" ht="17.100000000000001" hidden="1" customHeight="1" x14ac:dyDescent="0.2">
      <c r="A98" s="66" t="s">
        <v>206</v>
      </c>
      <c r="B98" s="40"/>
      <c r="C98" s="167"/>
      <c r="D98" s="167"/>
      <c r="E98" s="14"/>
      <c r="F98" s="14"/>
      <c r="G98" s="40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</row>
    <row r="99" spans="1:27" s="24" customFormat="1" ht="17.100000000000001" hidden="1" customHeight="1" x14ac:dyDescent="0.2">
      <c r="A99" s="66"/>
      <c r="B99" s="40"/>
      <c r="C99" s="167"/>
      <c r="D99" s="167"/>
      <c r="E99" s="14"/>
      <c r="F99" s="14"/>
      <c r="G99" s="40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</row>
    <row r="100" spans="1:27" s="24" customFormat="1" ht="17.100000000000001" hidden="1" customHeight="1" x14ac:dyDescent="0.2">
      <c r="A100" s="66" t="s">
        <v>235</v>
      </c>
      <c r="B100" s="40"/>
      <c r="C100" s="167"/>
      <c r="D100" s="167"/>
      <c r="E100" s="14"/>
      <c r="F100" s="14"/>
      <c r="G100" s="40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</row>
    <row r="101" spans="1:27" s="24" customFormat="1" ht="17.100000000000001" hidden="1" customHeight="1" thickBot="1" x14ac:dyDescent="0.25">
      <c r="A101" s="66"/>
      <c r="B101" s="40"/>
      <c r="C101" s="167"/>
      <c r="D101" s="167"/>
      <c r="E101" s="14"/>
      <c r="F101" s="14"/>
      <c r="G101" s="40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</row>
    <row r="102" spans="1:27" s="24" customFormat="1" ht="23.25" customHeight="1" thickTop="1" thickBot="1" x14ac:dyDescent="0.25">
      <c r="A102" s="67" t="s">
        <v>20</v>
      </c>
      <c r="B102" s="68"/>
      <c r="C102" s="188"/>
      <c r="D102" s="188"/>
      <c r="E102" s="69"/>
      <c r="F102" s="168"/>
      <c r="G102" s="69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</row>
    <row r="103" spans="1:27" ht="20.100000000000001" customHeight="1" thickTop="1" x14ac:dyDescent="0.2"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</row>
    <row r="104" spans="1:27" ht="20.100000000000001" customHeight="1" x14ac:dyDescent="0.2"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</row>
    <row r="105" spans="1:27" ht="20.100000000000001" hidden="1" customHeight="1" thickBot="1" x14ac:dyDescent="0.3">
      <c r="A105" s="341" t="s">
        <v>210</v>
      </c>
      <c r="B105" s="342"/>
      <c r="C105" s="342"/>
      <c r="D105" s="342"/>
    </row>
    <row r="106" spans="1:27" s="352" customFormat="1" ht="42" hidden="1" customHeight="1" thickTop="1" x14ac:dyDescent="0.2">
      <c r="A106" s="353"/>
      <c r="B106" s="354" t="s">
        <v>1</v>
      </c>
      <c r="C106" s="354" t="s">
        <v>211</v>
      </c>
      <c r="D106" s="355" t="s">
        <v>212</v>
      </c>
    </row>
    <row r="107" spans="1:27" ht="21" hidden="1" customHeight="1" x14ac:dyDescent="0.2">
      <c r="A107" s="356" t="s">
        <v>233</v>
      </c>
      <c r="B107" s="187">
        <v>0</v>
      </c>
      <c r="C107" s="145"/>
      <c r="D107" s="357">
        <f>B107-C107</f>
        <v>0</v>
      </c>
    </row>
    <row r="108" spans="1:27" ht="25.5" hidden="1" customHeight="1" thickBot="1" x14ac:dyDescent="0.25">
      <c r="A108" s="358" t="s">
        <v>234</v>
      </c>
      <c r="B108" s="359"/>
      <c r="C108" s="360"/>
      <c r="D108" s="361">
        <f>B108-C108</f>
        <v>0</v>
      </c>
    </row>
    <row r="109" spans="1:27" ht="20.100000000000001" customHeight="1" x14ac:dyDescent="0.2"/>
    <row r="110" spans="1:27" ht="20.100000000000001" customHeight="1" x14ac:dyDescent="0.2"/>
    <row r="111" spans="1:27" ht="20.100000000000001" customHeight="1" x14ac:dyDescent="0.2"/>
    <row r="112" spans="1:27" ht="20.100000000000001" customHeight="1" x14ac:dyDescent="0.2"/>
    <row r="113" ht="20.100000000000001" customHeight="1" x14ac:dyDescent="0.2"/>
    <row r="114" ht="20.100000000000001" customHeight="1" x14ac:dyDescent="0.2"/>
    <row r="115" ht="20.100000000000001" customHeight="1" x14ac:dyDescent="0.2"/>
    <row r="116" ht="20.100000000000001" customHeight="1" x14ac:dyDescent="0.2"/>
    <row r="117" ht="20.100000000000001" customHeight="1" x14ac:dyDescent="0.2"/>
    <row r="118" ht="20.100000000000001" customHeight="1" x14ac:dyDescent="0.2"/>
    <row r="119" ht="20.100000000000001" customHeight="1" x14ac:dyDescent="0.2"/>
    <row r="120" ht="20.100000000000001" customHeight="1" x14ac:dyDescent="0.2"/>
    <row r="121" ht="20.100000000000001" customHeight="1" x14ac:dyDescent="0.2"/>
    <row r="122" ht="20.100000000000001" customHeight="1" x14ac:dyDescent="0.2"/>
    <row r="123" ht="20.100000000000001" customHeight="1" x14ac:dyDescent="0.2"/>
    <row r="124" ht="20.100000000000001" customHeight="1" x14ac:dyDescent="0.2"/>
    <row r="125" ht="20.100000000000001" customHeight="1" x14ac:dyDescent="0.2"/>
    <row r="126" ht="20.100000000000001" customHeight="1" x14ac:dyDescent="0.2"/>
    <row r="127" ht="20.100000000000001" customHeight="1" x14ac:dyDescent="0.2"/>
    <row r="128" ht="20.100000000000001" customHeight="1" x14ac:dyDescent="0.2"/>
    <row r="129" ht="20.100000000000001" customHeight="1" x14ac:dyDescent="0.2"/>
    <row r="130" ht="20.100000000000001" customHeight="1" x14ac:dyDescent="0.2"/>
    <row r="131" ht="20.100000000000001" customHeight="1" x14ac:dyDescent="0.2"/>
    <row r="132" ht="20.100000000000001" customHeight="1" x14ac:dyDescent="0.2"/>
    <row r="133" ht="20.100000000000001" customHeight="1" x14ac:dyDescent="0.2"/>
    <row r="134" ht="20.100000000000001" customHeight="1" x14ac:dyDescent="0.2"/>
    <row r="135" ht="20.100000000000001" customHeight="1" x14ac:dyDescent="0.2"/>
    <row r="136" ht="20.100000000000001" customHeight="1" x14ac:dyDescent="0.2"/>
    <row r="137" ht="20.100000000000001" customHeight="1" x14ac:dyDescent="0.2"/>
    <row r="138" ht="20.100000000000001" customHeight="1" x14ac:dyDescent="0.2"/>
    <row r="139" ht="20.100000000000001" customHeight="1" x14ac:dyDescent="0.2"/>
    <row r="140" ht="20.100000000000001" customHeight="1" x14ac:dyDescent="0.2"/>
    <row r="141" ht="20.100000000000001" customHeight="1" x14ac:dyDescent="0.2"/>
    <row r="142" ht="20.100000000000001" customHeight="1" x14ac:dyDescent="0.2"/>
    <row r="143" ht="20.100000000000001" customHeight="1" x14ac:dyDescent="0.2"/>
    <row r="144" ht="20.100000000000001" customHeight="1" x14ac:dyDescent="0.2"/>
    <row r="145" ht="20.100000000000001" customHeight="1" x14ac:dyDescent="0.2"/>
    <row r="146" ht="20.100000000000001" customHeight="1" x14ac:dyDescent="0.2"/>
    <row r="147" ht="20.100000000000001" customHeight="1" x14ac:dyDescent="0.2"/>
    <row r="148" ht="20.100000000000001" customHeight="1" x14ac:dyDescent="0.2"/>
    <row r="149" ht="20.100000000000001" customHeight="1" x14ac:dyDescent="0.2"/>
    <row r="150" ht="20.100000000000001" customHeight="1" x14ac:dyDescent="0.2"/>
    <row r="151" ht="20.100000000000001" customHeight="1" x14ac:dyDescent="0.2"/>
    <row r="152" ht="20.100000000000001" customHeight="1" x14ac:dyDescent="0.2"/>
    <row r="153" ht="20.100000000000001" customHeight="1" x14ac:dyDescent="0.2"/>
    <row r="154" ht="20.100000000000001" customHeight="1" x14ac:dyDescent="0.2"/>
    <row r="155" ht="20.100000000000001" customHeight="1" x14ac:dyDescent="0.2"/>
  </sheetData>
  <mergeCells count="1">
    <mergeCell ref="C65:M65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  <headerFooter>
    <oddHeader>&amp;Cרחוב רשב"ג, ירושלים
פינוי בינוי
יזם: דן בן עמרם
טיוטה</oddHeader>
  </headerFooter>
  <rowBreaks count="3" manualBreakCount="3">
    <brk id="35" max="16383" man="1"/>
    <brk id="61" max="16383" man="1"/>
    <brk id="8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8"/>
  <sheetViews>
    <sheetView showGridLines="0" rightToLeft="1" topLeftCell="A170" zoomScale="110" zoomScaleNormal="110" zoomScaleSheetLayoutView="80" workbookViewId="0">
      <selection activeCell="C40" sqref="C40:D40"/>
    </sheetView>
  </sheetViews>
  <sheetFormatPr defaultColWidth="9" defaultRowHeight="15.75" x14ac:dyDescent="0.2"/>
  <cols>
    <col min="1" max="1" width="36.75" style="31" customWidth="1"/>
    <col min="2" max="2" width="20" style="31" customWidth="1"/>
    <col min="3" max="3" width="29.375" style="31" customWidth="1"/>
    <col min="4" max="4" width="20.25" style="31" customWidth="1"/>
    <col min="5" max="5" width="12.375" style="105" customWidth="1"/>
    <col min="6" max="6" width="13.75" style="106" customWidth="1"/>
    <col min="7" max="7" width="10.625" style="106" customWidth="1"/>
    <col min="8" max="8" width="12" style="106" customWidth="1"/>
    <col min="9" max="9" width="23.5" style="24" customWidth="1"/>
    <col min="10" max="10" width="18.25" style="132" customWidth="1"/>
    <col min="11" max="11" width="14.25" style="106" customWidth="1"/>
    <col min="12" max="12" width="12.125" style="106" customWidth="1"/>
    <col min="13" max="13" width="9.5" style="106" customWidth="1"/>
    <col min="14" max="14" width="8.25" style="106" customWidth="1"/>
    <col min="15" max="15" width="9.25" style="106" customWidth="1"/>
    <col min="16" max="16" width="7.375" style="106" customWidth="1"/>
    <col min="17" max="17" width="8" style="24" customWidth="1"/>
    <col min="18" max="19" width="10.875" style="24" customWidth="1"/>
    <col min="20" max="20" width="6.625" style="24" customWidth="1"/>
    <col min="21" max="16384" width="9" style="24"/>
  </cols>
  <sheetData>
    <row r="1" spans="1:16" ht="20.25" x14ac:dyDescent="0.2">
      <c r="A1" s="318" t="s">
        <v>25</v>
      </c>
      <c r="C1" s="332"/>
      <c r="F1" s="12"/>
      <c r="G1" s="12"/>
      <c r="H1" s="12"/>
      <c r="I1" s="31"/>
    </row>
    <row r="2" spans="1:16" x14ac:dyDescent="0.2">
      <c r="F2" s="12"/>
      <c r="G2" s="12"/>
      <c r="H2" s="12"/>
      <c r="I2" s="31"/>
    </row>
    <row r="3" spans="1:16" x14ac:dyDescent="0.2">
      <c r="A3" s="97"/>
      <c r="B3" s="97"/>
      <c r="C3" s="97"/>
      <c r="D3" s="97"/>
      <c r="F3" s="12"/>
      <c r="G3" s="12"/>
      <c r="H3" s="12"/>
      <c r="I3" s="31"/>
    </row>
    <row r="4" spans="1:16" ht="21" customHeight="1" x14ac:dyDescent="0.2">
      <c r="A4" s="82" t="s">
        <v>101</v>
      </c>
      <c r="B4" s="320" t="e">
        <f>B184</f>
        <v>#DIV/0!</v>
      </c>
      <c r="C4" s="12"/>
      <c r="D4" s="65"/>
      <c r="E4" s="24"/>
      <c r="F4" s="132"/>
      <c r="I4" s="106"/>
      <c r="J4" s="106"/>
      <c r="M4" s="24"/>
      <c r="N4" s="24"/>
      <c r="O4" s="24"/>
      <c r="P4" s="24"/>
    </row>
    <row r="5" spans="1:16" ht="20.100000000000001" customHeight="1" x14ac:dyDescent="0.2">
      <c r="A5" s="82" t="s">
        <v>106</v>
      </c>
      <c r="B5" s="50">
        <f>פרוגרמה!B9</f>
        <v>0</v>
      </c>
      <c r="C5" s="12"/>
      <c r="D5" s="106"/>
      <c r="E5" s="24"/>
      <c r="F5" s="132"/>
      <c r="I5" s="106"/>
      <c r="J5" s="106"/>
      <c r="M5" s="24"/>
      <c r="N5" s="24"/>
      <c r="O5" s="24"/>
      <c r="P5" s="24"/>
    </row>
    <row r="6" spans="1:16" ht="20.100000000000001" customHeight="1" x14ac:dyDescent="0.2">
      <c r="A6" s="82" t="s">
        <v>102</v>
      </c>
      <c r="B6" s="50"/>
      <c r="C6" s="12"/>
      <c r="D6" s="106"/>
      <c r="E6" s="24"/>
      <c r="F6" s="132"/>
      <c r="I6" s="106"/>
      <c r="J6" s="106"/>
      <c r="M6" s="24"/>
      <c r="N6" s="24"/>
      <c r="O6" s="24"/>
      <c r="P6" s="24"/>
    </row>
    <row r="7" spans="1:16" ht="20.100000000000001" customHeight="1" x14ac:dyDescent="0.2">
      <c r="A7" s="82" t="s">
        <v>190</v>
      </c>
      <c r="B7" s="50">
        <f>B5</f>
        <v>0</v>
      </c>
      <c r="C7" s="12"/>
      <c r="D7" s="106"/>
      <c r="E7" s="24"/>
      <c r="F7" s="24"/>
      <c r="G7" s="24"/>
      <c r="I7" s="106"/>
      <c r="J7" s="106"/>
      <c r="M7" s="24"/>
      <c r="N7" s="24"/>
      <c r="O7" s="24"/>
      <c r="P7" s="24"/>
    </row>
    <row r="8" spans="1:16" ht="22.5" customHeight="1" x14ac:dyDescent="0.2">
      <c r="A8" s="82" t="s">
        <v>107</v>
      </c>
      <c r="B8" s="319" t="e">
        <f>B6/B5</f>
        <v>#DIV/0!</v>
      </c>
      <c r="C8" s="12"/>
      <c r="D8" s="106"/>
      <c r="E8" s="24"/>
      <c r="F8" s="24"/>
      <c r="G8" s="24"/>
      <c r="I8" s="106"/>
      <c r="J8" s="106"/>
      <c r="M8" s="24"/>
      <c r="N8" s="24"/>
      <c r="O8" s="24"/>
      <c r="P8" s="24"/>
    </row>
    <row r="9" spans="1:16" ht="20.100000000000001" customHeight="1" x14ac:dyDescent="0.2">
      <c r="A9" s="23"/>
      <c r="B9" s="236"/>
      <c r="C9" s="12"/>
      <c r="D9" s="12"/>
      <c r="E9" s="12"/>
      <c r="F9" s="24"/>
      <c r="G9" s="24"/>
      <c r="H9" s="24"/>
      <c r="I9" s="106"/>
      <c r="J9" s="106"/>
      <c r="N9" s="24"/>
      <c r="O9" s="24"/>
      <c r="P9" s="24"/>
    </row>
    <row r="10" spans="1:16" ht="20.100000000000001" customHeight="1" x14ac:dyDescent="0.2">
      <c r="A10" s="24"/>
      <c r="B10" s="105"/>
      <c r="C10" s="12"/>
      <c r="D10" s="12"/>
      <c r="E10" s="12"/>
      <c r="F10" s="24"/>
      <c r="G10" s="24"/>
      <c r="H10" s="24"/>
      <c r="I10" s="106"/>
      <c r="J10" s="106"/>
      <c r="N10" s="24"/>
      <c r="O10" s="24"/>
      <c r="P10" s="24"/>
    </row>
    <row r="11" spans="1:16" ht="20.100000000000001" customHeight="1" x14ac:dyDescent="0.2">
      <c r="A11" s="32" t="s">
        <v>158</v>
      </c>
      <c r="B11" s="105"/>
      <c r="C11" s="12"/>
      <c r="D11" s="12"/>
      <c r="E11" s="12"/>
      <c r="F11" s="24"/>
      <c r="G11" s="24"/>
      <c r="H11" s="24"/>
      <c r="I11" s="106"/>
      <c r="J11" s="106"/>
      <c r="N11" s="24"/>
      <c r="O11" s="24"/>
      <c r="P11" s="24"/>
    </row>
    <row r="12" spans="1:16" ht="35.25" customHeight="1" x14ac:dyDescent="0.2">
      <c r="A12" s="286" t="s">
        <v>159</v>
      </c>
      <c r="B12" s="196" t="s">
        <v>75</v>
      </c>
      <c r="C12" s="196" t="s">
        <v>71</v>
      </c>
      <c r="D12" s="386" t="s">
        <v>193</v>
      </c>
      <c r="E12" s="387"/>
      <c r="F12" s="169" t="s">
        <v>124</v>
      </c>
      <c r="G12" s="132"/>
      <c r="I12" s="106"/>
      <c r="J12" s="106"/>
      <c r="N12" s="24"/>
      <c r="O12" s="24"/>
      <c r="P12" s="24"/>
    </row>
    <row r="13" spans="1:16" ht="20.100000000000001" customHeight="1" x14ac:dyDescent="0.2">
      <c r="A13" s="199" t="s">
        <v>69</v>
      </c>
      <c r="B13" s="145" t="s">
        <v>76</v>
      </c>
      <c r="C13" s="145">
        <f>פרוגרמה!C19</f>
        <v>0</v>
      </c>
      <c r="D13" s="337">
        <v>21000</v>
      </c>
      <c r="E13" s="340" t="s">
        <v>103</v>
      </c>
      <c r="F13" s="186">
        <f>ROUND(C13*D13,-4)</f>
        <v>0</v>
      </c>
      <c r="G13" s="132"/>
      <c r="I13" s="106"/>
      <c r="J13" s="106"/>
      <c r="N13" s="24"/>
      <c r="O13" s="24"/>
      <c r="P13" s="24"/>
    </row>
    <row r="14" spans="1:16" ht="20.100000000000001" customHeight="1" x14ac:dyDescent="0.2">
      <c r="A14" s="211" t="s">
        <v>72</v>
      </c>
      <c r="B14" s="145" t="s">
        <v>77</v>
      </c>
      <c r="C14" s="145">
        <f>פרוגרמה!C20</f>
        <v>0</v>
      </c>
      <c r="D14" s="337">
        <v>24000</v>
      </c>
      <c r="E14" s="340" t="s">
        <v>103</v>
      </c>
      <c r="F14" s="186">
        <f>ROUND(C14*D14,-4)</f>
        <v>0</v>
      </c>
      <c r="G14" s="132"/>
      <c r="I14" s="106"/>
      <c r="J14" s="106"/>
      <c r="N14" s="24"/>
      <c r="O14" s="24"/>
      <c r="P14" s="24"/>
    </row>
    <row r="15" spans="1:16" ht="20.100000000000001" customHeight="1" x14ac:dyDescent="0.2">
      <c r="A15" s="201" t="s">
        <v>80</v>
      </c>
      <c r="B15" s="145"/>
      <c r="C15" s="272">
        <f>פרוגרמה!J79</f>
        <v>0</v>
      </c>
      <c r="D15" s="276" t="e">
        <f>F66</f>
        <v>#DIV/0!</v>
      </c>
      <c r="E15" s="340"/>
      <c r="F15" s="237" t="e">
        <f>H66</f>
        <v>#DIV/0!</v>
      </c>
      <c r="G15" s="132"/>
      <c r="I15" s="106"/>
      <c r="J15" s="106"/>
      <c r="N15" s="24"/>
      <c r="O15" s="24"/>
      <c r="P15" s="24"/>
    </row>
    <row r="16" spans="1:16" ht="20.100000000000001" customHeight="1" x14ac:dyDescent="0.2">
      <c r="A16" s="214"/>
      <c r="B16" s="287"/>
      <c r="C16" s="325"/>
      <c r="D16" s="326"/>
      <c r="E16" s="190"/>
      <c r="F16" s="289"/>
      <c r="G16" s="132"/>
      <c r="I16" s="106"/>
      <c r="J16" s="106"/>
      <c r="N16" s="24"/>
      <c r="O16" s="24"/>
      <c r="P16" s="24"/>
    </row>
    <row r="17" spans="1:16" ht="20.100000000000001" hidden="1" customHeight="1" x14ac:dyDescent="0.2">
      <c r="A17" s="314" t="s">
        <v>160</v>
      </c>
      <c r="B17" s="94"/>
      <c r="C17" s="288"/>
      <c r="D17" s="327"/>
      <c r="E17" s="296"/>
      <c r="F17" s="289"/>
      <c r="G17" s="132"/>
      <c r="I17" s="106"/>
      <c r="J17" s="106"/>
      <c r="N17" s="24"/>
      <c r="O17" s="24"/>
      <c r="P17" s="24"/>
    </row>
    <row r="18" spans="1:16" ht="20.100000000000001" hidden="1" customHeight="1" x14ac:dyDescent="0.2">
      <c r="A18" s="141" t="s">
        <v>166</v>
      </c>
      <c r="B18" s="186">
        <v>25000</v>
      </c>
      <c r="C18" s="119" t="s">
        <v>95</v>
      </c>
      <c r="D18" s="327"/>
      <c r="E18" s="132"/>
      <c r="I18" s="106"/>
      <c r="J18" s="106"/>
      <c r="L18" s="24"/>
      <c r="M18" s="24"/>
      <c r="N18" s="24"/>
      <c r="O18" s="24"/>
      <c r="P18" s="24"/>
    </row>
    <row r="19" spans="1:16" ht="20.100000000000001" hidden="1" customHeight="1" x14ac:dyDescent="0.2">
      <c r="A19" s="141" t="s">
        <v>167</v>
      </c>
      <c r="B19" s="186">
        <v>10000</v>
      </c>
      <c r="C19" s="119" t="s">
        <v>95</v>
      </c>
      <c r="D19" s="289"/>
      <c r="E19" s="132"/>
      <c r="I19" s="106"/>
      <c r="J19" s="106"/>
      <c r="L19" s="24"/>
      <c r="M19" s="24"/>
      <c r="N19" s="24"/>
      <c r="O19" s="24"/>
      <c r="P19" s="24"/>
    </row>
    <row r="20" spans="1:16" ht="12.75" customHeight="1" x14ac:dyDescent="0.2">
      <c r="A20" s="90"/>
      <c r="B20" s="191"/>
      <c r="C20" s="190"/>
      <c r="D20" s="190"/>
      <c r="E20" s="190"/>
      <c r="F20" s="31"/>
      <c r="G20" s="132"/>
      <c r="I20" s="106"/>
      <c r="J20" s="106"/>
      <c r="N20" s="24"/>
      <c r="O20" s="24"/>
      <c r="P20" s="24"/>
    </row>
    <row r="21" spans="1:16" ht="20.100000000000001" customHeight="1" x14ac:dyDescent="0.2">
      <c r="A21" s="97" t="s">
        <v>161</v>
      </c>
      <c r="B21" s="105"/>
      <c r="C21" s="12"/>
      <c r="D21" s="12"/>
      <c r="E21" s="31"/>
      <c r="F21" s="31"/>
      <c r="G21" s="31"/>
      <c r="I21" s="106"/>
      <c r="J21" s="106"/>
      <c r="N21" s="24"/>
      <c r="O21" s="24"/>
      <c r="P21" s="24"/>
    </row>
    <row r="22" spans="1:16" ht="20.25" hidden="1" customHeight="1" x14ac:dyDescent="0.2">
      <c r="A22" s="144" t="s">
        <v>232</v>
      </c>
      <c r="B22" s="186">
        <v>3750</v>
      </c>
      <c r="C22" s="381" t="s">
        <v>239</v>
      </c>
      <c r="D22" s="382"/>
      <c r="E22" s="31"/>
      <c r="F22" s="31"/>
      <c r="G22" s="31"/>
      <c r="I22" s="106"/>
      <c r="J22" s="106"/>
      <c r="N22" s="24"/>
      <c r="O22" s="24"/>
      <c r="P22" s="24"/>
    </row>
    <row r="23" spans="1:16" ht="20.100000000000001" customHeight="1" x14ac:dyDescent="0.2">
      <c r="A23" s="144" t="s">
        <v>4</v>
      </c>
      <c r="B23" s="186"/>
      <c r="C23" s="381" t="s">
        <v>95</v>
      </c>
      <c r="D23" s="382"/>
      <c r="E23" s="31"/>
      <c r="F23" s="31"/>
      <c r="G23" s="31"/>
      <c r="I23" s="106"/>
      <c r="J23" s="106"/>
      <c r="N23" s="24"/>
      <c r="O23" s="24"/>
      <c r="P23" s="24"/>
    </row>
    <row r="24" spans="1:16" ht="20.100000000000001" customHeight="1" x14ac:dyDescent="0.2">
      <c r="A24" s="144" t="s">
        <v>113</v>
      </c>
      <c r="B24" s="186">
        <v>300</v>
      </c>
      <c r="C24" s="381" t="s">
        <v>95</v>
      </c>
      <c r="D24" s="382"/>
      <c r="E24" s="31"/>
      <c r="F24" s="31"/>
      <c r="G24" s="31"/>
      <c r="I24" s="106"/>
      <c r="J24" s="106"/>
      <c r="N24" s="24"/>
      <c r="O24" s="24"/>
      <c r="P24" s="24"/>
    </row>
    <row r="25" spans="1:16" ht="20.100000000000001" hidden="1" customHeight="1" x14ac:dyDescent="0.2">
      <c r="A25" s="144" t="s">
        <v>112</v>
      </c>
      <c r="B25" s="186">
        <v>0</v>
      </c>
      <c r="C25" s="381" t="s">
        <v>95</v>
      </c>
      <c r="D25" s="382"/>
      <c r="E25" s="31"/>
      <c r="F25" s="31"/>
      <c r="G25" s="31"/>
      <c r="I25" s="106"/>
      <c r="J25" s="106"/>
      <c r="N25" s="24"/>
      <c r="O25" s="24"/>
      <c r="P25" s="24"/>
    </row>
    <row r="26" spans="1:16" ht="20.100000000000001" hidden="1" customHeight="1" x14ac:dyDescent="0.2">
      <c r="A26" s="144" t="s">
        <v>112</v>
      </c>
      <c r="B26" s="186">
        <v>200</v>
      </c>
      <c r="C26" s="338" t="s">
        <v>95</v>
      </c>
      <c r="D26" s="339"/>
      <c r="E26" s="31"/>
      <c r="F26" s="31"/>
      <c r="G26" s="31"/>
      <c r="I26" s="106"/>
      <c r="J26" s="106"/>
      <c r="N26" s="24"/>
      <c r="O26" s="24"/>
      <c r="P26" s="24"/>
    </row>
    <row r="27" spans="1:16" ht="20.100000000000001" customHeight="1" x14ac:dyDescent="0.2">
      <c r="A27" s="82" t="s">
        <v>34</v>
      </c>
      <c r="B27" s="186"/>
      <c r="C27" s="381" t="s">
        <v>95</v>
      </c>
      <c r="D27" s="382"/>
      <c r="E27" s="297"/>
      <c r="F27" s="31"/>
      <c r="G27" s="31"/>
      <c r="I27" s="106"/>
      <c r="J27" s="106"/>
      <c r="N27" s="24"/>
      <c r="O27" s="24"/>
      <c r="P27" s="24"/>
    </row>
    <row r="28" spans="1:16" ht="20.100000000000001" customHeight="1" x14ac:dyDescent="0.2">
      <c r="A28" s="82" t="s">
        <v>35</v>
      </c>
      <c r="B28" s="186"/>
      <c r="C28" s="381" t="s">
        <v>95</v>
      </c>
      <c r="D28" s="382"/>
      <c r="E28" s="297"/>
      <c r="F28" s="31"/>
      <c r="G28" s="132"/>
      <c r="I28" s="106"/>
      <c r="J28" s="106"/>
      <c r="N28" s="24"/>
      <c r="O28" s="24"/>
      <c r="P28" s="24"/>
    </row>
    <row r="29" spans="1:16" ht="20.100000000000001" customHeight="1" x14ac:dyDescent="0.2">
      <c r="A29" s="82" t="s">
        <v>36</v>
      </c>
      <c r="B29" s="186"/>
      <c r="C29" s="381" t="s">
        <v>95</v>
      </c>
      <c r="D29" s="382"/>
      <c r="E29" s="12"/>
      <c r="F29" s="31"/>
      <c r="G29" s="132"/>
      <c r="I29" s="106"/>
      <c r="J29" s="106"/>
      <c r="N29" s="24"/>
      <c r="O29" s="24"/>
      <c r="P29" s="24"/>
    </row>
    <row r="30" spans="1:16" ht="20.100000000000001" customHeight="1" x14ac:dyDescent="0.2">
      <c r="A30" s="144" t="s">
        <v>88</v>
      </c>
      <c r="B30" s="186"/>
      <c r="C30" s="381" t="s">
        <v>96</v>
      </c>
      <c r="D30" s="382"/>
      <c r="E30" s="24"/>
      <c r="F30" s="31"/>
      <c r="G30" s="132"/>
      <c r="I30" s="106"/>
      <c r="J30" s="106"/>
      <c r="N30" s="24"/>
      <c r="O30" s="24"/>
      <c r="P30" s="24"/>
    </row>
    <row r="31" spans="1:16" ht="20.100000000000001" hidden="1" customHeight="1" x14ac:dyDescent="0.2">
      <c r="A31" s="144" t="s">
        <v>164</v>
      </c>
      <c r="B31" s="123">
        <v>0</v>
      </c>
      <c r="C31" s="381" t="s">
        <v>97</v>
      </c>
      <c r="D31" s="382"/>
      <c r="E31" s="24"/>
      <c r="F31" s="31"/>
      <c r="G31" s="132"/>
      <c r="I31" s="106"/>
      <c r="J31" s="106"/>
      <c r="N31" s="24"/>
      <c r="O31" s="24"/>
      <c r="P31" s="24"/>
    </row>
    <row r="32" spans="1:16" ht="20.100000000000001" customHeight="1" x14ac:dyDescent="0.2">
      <c r="A32" s="144" t="s">
        <v>89</v>
      </c>
      <c r="B32" s="186"/>
      <c r="C32" s="381" t="s">
        <v>95</v>
      </c>
      <c r="D32" s="382"/>
      <c r="E32" s="24"/>
      <c r="F32" s="31"/>
      <c r="G32" s="132"/>
      <c r="I32" s="106"/>
      <c r="J32" s="106"/>
      <c r="N32" s="24"/>
      <c r="O32" s="24"/>
      <c r="P32" s="24"/>
    </row>
    <row r="33" spans="1:16" ht="20.100000000000001" customHeight="1" x14ac:dyDescent="0.2">
      <c r="A33" s="144" t="s">
        <v>90</v>
      </c>
      <c r="B33" s="186"/>
      <c r="C33" s="381" t="s">
        <v>95</v>
      </c>
      <c r="D33" s="382"/>
      <c r="E33" s="12"/>
      <c r="F33" s="31"/>
      <c r="G33" s="132"/>
      <c r="I33" s="106"/>
      <c r="J33" s="106"/>
      <c r="N33" s="24"/>
      <c r="O33" s="24"/>
      <c r="P33" s="24"/>
    </row>
    <row r="34" spans="1:16" ht="20.100000000000001" customHeight="1" x14ac:dyDescent="0.2">
      <c r="A34" s="82" t="s">
        <v>42</v>
      </c>
      <c r="B34" s="186">
        <v>3000</v>
      </c>
      <c r="C34" s="381" t="s">
        <v>96</v>
      </c>
      <c r="D34" s="382"/>
      <c r="E34" s="12"/>
      <c r="F34" s="31"/>
      <c r="G34" s="132"/>
      <c r="I34" s="106"/>
      <c r="J34" s="106"/>
      <c r="N34" s="24"/>
      <c r="O34" s="24"/>
      <c r="P34" s="24"/>
    </row>
    <row r="35" spans="1:16" ht="20.100000000000001" hidden="1" customHeight="1" x14ac:dyDescent="0.2">
      <c r="A35" s="82" t="s">
        <v>162</v>
      </c>
      <c r="B35" s="186">
        <v>60</v>
      </c>
      <c r="C35" s="381" t="s">
        <v>95</v>
      </c>
      <c r="D35" s="382"/>
      <c r="E35" s="12"/>
      <c r="F35" s="31"/>
      <c r="G35" s="132"/>
      <c r="I35" s="106"/>
      <c r="J35" s="106"/>
      <c r="N35" s="24"/>
      <c r="O35" s="24"/>
      <c r="P35" s="24"/>
    </row>
    <row r="36" spans="1:16" ht="20.100000000000001" customHeight="1" x14ac:dyDescent="0.2">
      <c r="A36" s="82" t="s">
        <v>43</v>
      </c>
      <c r="B36" s="99">
        <v>2.5000000000000001E-2</v>
      </c>
      <c r="C36" s="381" t="s">
        <v>240</v>
      </c>
      <c r="D36" s="382"/>
      <c r="E36" s="12"/>
      <c r="F36" s="31"/>
      <c r="G36" s="132"/>
      <c r="I36" s="106"/>
      <c r="J36" s="106"/>
      <c r="N36" s="24"/>
      <c r="O36" s="24"/>
      <c r="P36" s="24"/>
    </row>
    <row r="37" spans="1:16" ht="20.100000000000001" customHeight="1" x14ac:dyDescent="0.2">
      <c r="A37" s="82" t="s">
        <v>44</v>
      </c>
      <c r="B37" s="99">
        <v>0.05</v>
      </c>
      <c r="C37" s="381" t="s">
        <v>97</v>
      </c>
      <c r="D37" s="382"/>
      <c r="E37" s="12"/>
      <c r="F37" s="31"/>
      <c r="G37" s="132"/>
      <c r="I37" s="106"/>
      <c r="J37" s="106"/>
      <c r="N37" s="24"/>
      <c r="O37" s="24"/>
      <c r="P37" s="24"/>
    </row>
    <row r="38" spans="1:16" ht="20.100000000000001" customHeight="1" x14ac:dyDescent="0.2">
      <c r="A38" s="82" t="s">
        <v>155</v>
      </c>
      <c r="B38" s="50">
        <v>5000</v>
      </c>
      <c r="C38" s="381" t="s">
        <v>96</v>
      </c>
      <c r="D38" s="382"/>
      <c r="E38" s="12"/>
      <c r="F38" s="31"/>
      <c r="G38" s="132"/>
      <c r="I38" s="106"/>
      <c r="J38" s="106"/>
      <c r="N38" s="24"/>
      <c r="O38" s="24"/>
      <c r="P38" s="24"/>
    </row>
    <row r="39" spans="1:16" ht="20.100000000000001" customHeight="1" x14ac:dyDescent="0.2">
      <c r="A39" s="82" t="s">
        <v>190</v>
      </c>
      <c r="B39" s="50">
        <f>B7</f>
        <v>0</v>
      </c>
      <c r="C39" s="334"/>
      <c r="D39" s="339"/>
      <c r="E39" s="12"/>
      <c r="F39" s="31"/>
      <c r="G39" s="132"/>
      <c r="I39" s="106"/>
      <c r="J39" s="106"/>
      <c r="N39" s="24"/>
      <c r="O39" s="24"/>
      <c r="P39" s="24"/>
    </row>
    <row r="40" spans="1:16" ht="20.100000000000001" customHeight="1" x14ac:dyDescent="0.2">
      <c r="A40" s="144" t="s">
        <v>91</v>
      </c>
      <c r="B40" s="186"/>
      <c r="C40" s="381" t="s">
        <v>96</v>
      </c>
      <c r="D40" s="382"/>
      <c r="E40" s="12"/>
      <c r="F40" s="31"/>
      <c r="G40" s="132"/>
      <c r="I40" s="106"/>
      <c r="J40" s="106"/>
      <c r="N40" s="24"/>
      <c r="O40" s="24"/>
      <c r="P40" s="24"/>
    </row>
    <row r="41" spans="1:16" ht="20.100000000000001" customHeight="1" x14ac:dyDescent="0.2">
      <c r="A41" s="144" t="s">
        <v>92</v>
      </c>
      <c r="B41" s="50"/>
      <c r="C41" s="381"/>
      <c r="D41" s="382"/>
      <c r="E41" s="12"/>
      <c r="F41" s="31"/>
      <c r="G41" s="132"/>
      <c r="I41" s="106"/>
      <c r="J41" s="106"/>
      <c r="N41" s="24"/>
      <c r="O41" s="24"/>
      <c r="P41" s="24"/>
    </row>
    <row r="42" spans="1:16" ht="20.100000000000001" customHeight="1" x14ac:dyDescent="0.2">
      <c r="A42" s="144" t="s">
        <v>192</v>
      </c>
      <c r="B42" s="50">
        <v>2000</v>
      </c>
      <c r="C42" s="381" t="s">
        <v>96</v>
      </c>
      <c r="D42" s="382"/>
      <c r="E42" s="12"/>
      <c r="F42" s="31"/>
      <c r="G42" s="132"/>
      <c r="I42" s="106"/>
      <c r="J42" s="106"/>
      <c r="N42" s="24"/>
      <c r="O42" s="24"/>
      <c r="P42" s="24"/>
    </row>
    <row r="43" spans="1:16" ht="20.100000000000001" hidden="1" customHeight="1" x14ac:dyDescent="0.2">
      <c r="A43" s="82" t="s">
        <v>98</v>
      </c>
      <c r="B43" s="123">
        <v>0</v>
      </c>
      <c r="C43" s="381" t="s">
        <v>197</v>
      </c>
      <c r="D43" s="382"/>
      <c r="E43" s="12"/>
      <c r="F43" s="31"/>
      <c r="G43" s="132"/>
      <c r="I43" s="106"/>
      <c r="J43" s="106"/>
      <c r="N43" s="24"/>
      <c r="O43" s="24"/>
      <c r="P43" s="24"/>
    </row>
    <row r="44" spans="1:16" ht="20.100000000000001" hidden="1" customHeight="1" x14ac:dyDescent="0.2">
      <c r="A44" s="233" t="s">
        <v>94</v>
      </c>
      <c r="B44" s="234">
        <v>0</v>
      </c>
      <c r="C44" s="381" t="s">
        <v>123</v>
      </c>
      <c r="D44" s="382"/>
      <c r="E44" s="12"/>
      <c r="F44" s="31"/>
      <c r="G44" s="132"/>
      <c r="I44" s="106"/>
      <c r="J44" s="106"/>
      <c r="N44" s="24"/>
      <c r="O44" s="24"/>
      <c r="P44" s="24"/>
    </row>
    <row r="45" spans="1:16" ht="20.100000000000001" hidden="1" customHeight="1" x14ac:dyDescent="0.2">
      <c r="A45" s="233" t="s">
        <v>93</v>
      </c>
      <c r="B45" s="234"/>
      <c r="C45" s="381" t="s">
        <v>123</v>
      </c>
      <c r="D45" s="382"/>
      <c r="E45" s="12"/>
      <c r="F45" s="31"/>
      <c r="G45" s="132"/>
      <c r="I45" s="106"/>
      <c r="J45" s="106"/>
      <c r="N45" s="24"/>
      <c r="O45" s="24"/>
      <c r="P45" s="24"/>
    </row>
    <row r="46" spans="1:16" ht="20.100000000000001" customHeight="1" x14ac:dyDescent="0.2">
      <c r="A46" s="82" t="s">
        <v>45</v>
      </c>
      <c r="B46" s="99">
        <v>0.05</v>
      </c>
      <c r="C46" s="381" t="s">
        <v>97</v>
      </c>
      <c r="D46" s="382"/>
      <c r="E46" s="12"/>
      <c r="F46" s="31"/>
      <c r="G46" s="132"/>
      <c r="I46" s="106"/>
      <c r="J46" s="106"/>
      <c r="N46" s="24"/>
      <c r="O46" s="24"/>
      <c r="P46" s="24"/>
    </row>
    <row r="47" spans="1:16" ht="20.100000000000001" customHeight="1" x14ac:dyDescent="0.2">
      <c r="A47" s="82" t="s">
        <v>53</v>
      </c>
      <c r="B47" s="123">
        <v>0.05</v>
      </c>
      <c r="C47" s="381" t="s">
        <v>99</v>
      </c>
      <c r="D47" s="382"/>
      <c r="E47" s="185"/>
      <c r="F47" s="31"/>
      <c r="G47" s="132"/>
      <c r="I47" s="106"/>
      <c r="J47" s="106"/>
      <c r="N47" s="24"/>
      <c r="O47" s="24"/>
      <c r="P47" s="24"/>
    </row>
    <row r="48" spans="1:16" ht="20.100000000000001" customHeight="1" x14ac:dyDescent="0.2">
      <c r="A48" s="82" t="s">
        <v>128</v>
      </c>
      <c r="B48" s="99">
        <v>4.4999999999999998E-2</v>
      </c>
      <c r="C48" s="381" t="s">
        <v>97</v>
      </c>
      <c r="D48" s="382"/>
      <c r="E48" s="185"/>
      <c r="F48" s="31"/>
      <c r="G48" s="132"/>
      <c r="I48" s="106"/>
      <c r="J48" s="106"/>
      <c r="N48" s="24"/>
      <c r="O48" s="24"/>
      <c r="P48" s="24"/>
    </row>
    <row r="49" spans="1:16" ht="20.100000000000001" customHeight="1" x14ac:dyDescent="0.2">
      <c r="A49" s="82" t="s">
        <v>127</v>
      </c>
      <c r="B49" s="99">
        <v>5.0000000000000001E-3</v>
      </c>
      <c r="C49" s="381" t="s">
        <v>125</v>
      </c>
      <c r="D49" s="382"/>
      <c r="E49" s="185"/>
      <c r="F49" s="31"/>
      <c r="G49" s="132"/>
      <c r="I49" s="106"/>
      <c r="J49" s="106"/>
      <c r="N49" s="24"/>
      <c r="O49" s="24"/>
      <c r="P49" s="24"/>
    </row>
    <row r="50" spans="1:16" ht="20.100000000000001" customHeight="1" x14ac:dyDescent="0.2">
      <c r="A50" s="82" t="s">
        <v>84</v>
      </c>
      <c r="B50" s="99">
        <v>8.9999999999999993E-3</v>
      </c>
      <c r="C50" s="381" t="s">
        <v>198</v>
      </c>
      <c r="D50" s="382"/>
      <c r="E50" s="185"/>
      <c r="F50" s="31"/>
      <c r="G50" s="132"/>
      <c r="I50" s="106"/>
      <c r="J50" s="106"/>
      <c r="N50" s="24"/>
      <c r="O50" s="24"/>
      <c r="P50" s="24"/>
    </row>
    <row r="51" spans="1:16" ht="31.5" x14ac:dyDescent="0.2">
      <c r="A51" s="144" t="s">
        <v>85</v>
      </c>
      <c r="B51" s="99">
        <v>8.9999999999999993E-3</v>
      </c>
      <c r="C51" s="381" t="s">
        <v>199</v>
      </c>
      <c r="D51" s="382"/>
      <c r="E51" s="185"/>
      <c r="F51" s="31"/>
      <c r="G51" s="132"/>
      <c r="I51" s="106"/>
      <c r="J51" s="106"/>
      <c r="N51" s="24"/>
      <c r="O51" s="24"/>
      <c r="P51" s="24"/>
    </row>
    <row r="52" spans="1:16" ht="20.100000000000001" customHeight="1" x14ac:dyDescent="0.2">
      <c r="A52" s="144" t="s">
        <v>136</v>
      </c>
      <c r="B52" s="229"/>
      <c r="C52" s="381"/>
      <c r="D52" s="382"/>
      <c r="E52" s="185"/>
      <c r="F52" s="31"/>
      <c r="G52" s="132"/>
      <c r="I52" s="106"/>
      <c r="J52" s="106"/>
      <c r="N52" s="24"/>
      <c r="O52" s="24"/>
      <c r="P52" s="24"/>
    </row>
    <row r="53" spans="1:16" ht="20.100000000000001" customHeight="1" x14ac:dyDescent="0.2">
      <c r="A53" s="82" t="s">
        <v>144</v>
      </c>
      <c r="B53" s="229"/>
      <c r="C53" s="381"/>
      <c r="D53" s="382"/>
      <c r="E53" s="185"/>
      <c r="F53" s="31"/>
      <c r="G53" s="132"/>
      <c r="I53" s="106"/>
      <c r="J53" s="106"/>
      <c r="N53" s="24"/>
      <c r="O53" s="24"/>
      <c r="P53" s="24"/>
    </row>
    <row r="54" spans="1:16" ht="18.75" customHeight="1" x14ac:dyDescent="0.2">
      <c r="A54" s="23"/>
      <c r="B54" s="290"/>
      <c r="C54" s="70"/>
      <c r="D54" s="12"/>
      <c r="E54" s="185"/>
      <c r="F54" s="31"/>
      <c r="G54" s="132"/>
      <c r="I54" s="106"/>
      <c r="J54" s="106"/>
      <c r="N54" s="24"/>
      <c r="O54" s="24"/>
      <c r="P54" s="24"/>
    </row>
    <row r="55" spans="1:16" ht="22.5" customHeight="1" x14ac:dyDescent="0.2">
      <c r="A55" s="95" t="s">
        <v>170</v>
      </c>
      <c r="B55" s="64"/>
      <c r="C55" s="190"/>
      <c r="D55" s="12"/>
      <c r="E55" s="185"/>
      <c r="F55" s="31"/>
      <c r="G55" s="132"/>
      <c r="I55" s="106"/>
      <c r="J55" s="106"/>
      <c r="N55" s="24"/>
      <c r="O55" s="24"/>
      <c r="P55" s="24"/>
    </row>
    <row r="56" spans="1:16" ht="22.5" customHeight="1" x14ac:dyDescent="0.2">
      <c r="A56" s="141" t="s">
        <v>109</v>
      </c>
      <c r="B56" s="186">
        <f>(F90+F116)*1000</f>
        <v>0</v>
      </c>
      <c r="C56" s="381"/>
      <c r="D56" s="382"/>
      <c r="E56" s="185"/>
      <c r="F56" s="31"/>
      <c r="G56" s="132"/>
      <c r="I56" s="106"/>
      <c r="J56" s="106"/>
      <c r="N56" s="24"/>
      <c r="O56" s="24"/>
      <c r="P56" s="24"/>
    </row>
    <row r="57" spans="1:16" ht="22.5" customHeight="1" x14ac:dyDescent="0.2">
      <c r="A57" s="141" t="s">
        <v>171</v>
      </c>
      <c r="B57" s="186">
        <f>(E74+F97+F125+E75)*1000</f>
        <v>0</v>
      </c>
      <c r="C57" s="381"/>
      <c r="D57" s="382"/>
      <c r="E57" s="185"/>
      <c r="F57" s="31"/>
      <c r="G57" s="132"/>
      <c r="I57" s="106"/>
      <c r="J57" s="106"/>
      <c r="N57" s="24"/>
      <c r="O57" s="24"/>
      <c r="P57" s="24"/>
    </row>
    <row r="58" spans="1:16" ht="21.75" customHeight="1" x14ac:dyDescent="0.2">
      <c r="A58" s="141" t="s">
        <v>110</v>
      </c>
      <c r="B58" s="225" t="e">
        <f>B57/B56</f>
        <v>#DIV/0!</v>
      </c>
      <c r="C58" s="381"/>
      <c r="D58" s="382"/>
      <c r="E58" s="185"/>
      <c r="F58" s="31"/>
      <c r="G58" s="132"/>
      <c r="I58" s="106"/>
      <c r="J58" s="106"/>
      <c r="N58" s="24"/>
      <c r="O58" s="24"/>
      <c r="P58" s="24"/>
    </row>
    <row r="59" spans="1:16" ht="22.5" customHeight="1" x14ac:dyDescent="0.2">
      <c r="A59" s="141" t="s">
        <v>111</v>
      </c>
      <c r="B59" s="186" t="e">
        <f>B57/B6</f>
        <v>#DIV/0!</v>
      </c>
      <c r="C59" s="381"/>
      <c r="D59" s="382"/>
      <c r="E59" s="185"/>
      <c r="F59" s="31"/>
      <c r="G59" s="132"/>
      <c r="I59" s="106"/>
      <c r="J59" s="106"/>
      <c r="N59" s="24"/>
      <c r="O59" s="24"/>
      <c r="P59" s="24"/>
    </row>
    <row r="60" spans="1:16" ht="22.5" customHeight="1" x14ac:dyDescent="0.2">
      <c r="A60" s="23"/>
      <c r="B60" s="64"/>
      <c r="C60" s="190"/>
      <c r="D60" s="12"/>
      <c r="E60" s="185"/>
      <c r="F60" s="31"/>
      <c r="G60" s="132"/>
      <c r="I60" s="106"/>
      <c r="J60" s="106"/>
      <c r="N60" s="24"/>
      <c r="O60" s="24"/>
      <c r="P60" s="24"/>
    </row>
    <row r="61" spans="1:16" ht="20.100000000000001" customHeight="1" thickBot="1" x14ac:dyDescent="0.25">
      <c r="A61" s="71"/>
      <c r="B61" s="106"/>
      <c r="C61" s="72"/>
      <c r="D61" s="72"/>
      <c r="E61" s="72"/>
      <c r="F61" s="48"/>
      <c r="G61" s="132"/>
      <c r="I61" s="106"/>
      <c r="J61" s="106"/>
      <c r="N61" s="24"/>
      <c r="O61" s="24"/>
      <c r="P61" s="24"/>
    </row>
    <row r="62" spans="1:16" ht="20.100000000000001" customHeight="1" x14ac:dyDescent="0.2">
      <c r="A62" s="291" t="s">
        <v>157</v>
      </c>
      <c r="B62" s="292"/>
      <c r="C62" s="292"/>
      <c r="D62" s="292"/>
      <c r="E62" s="292"/>
      <c r="F62" s="293"/>
      <c r="G62" s="142"/>
      <c r="H62" s="130"/>
      <c r="I62" s="106"/>
      <c r="J62" s="106"/>
      <c r="N62" s="24"/>
      <c r="O62" s="24"/>
      <c r="P62" s="24"/>
    </row>
    <row r="63" spans="1:16" s="12" customFormat="1" ht="66.75" customHeight="1" x14ac:dyDescent="0.2">
      <c r="A63" s="13"/>
      <c r="B63" s="11" t="s">
        <v>5</v>
      </c>
      <c r="C63" s="11" t="s">
        <v>26</v>
      </c>
      <c r="D63" s="169" t="s">
        <v>27</v>
      </c>
      <c r="E63" s="169" t="s">
        <v>28</v>
      </c>
      <c r="F63" s="169" t="s">
        <v>172</v>
      </c>
      <c r="G63" s="169" t="s">
        <v>29</v>
      </c>
      <c r="H63" s="20" t="s">
        <v>30</v>
      </c>
    </row>
    <row r="64" spans="1:16" s="12" customFormat="1" ht="20.100000000000001" customHeight="1" x14ac:dyDescent="0.2">
      <c r="A64" s="321" t="s">
        <v>69</v>
      </c>
      <c r="B64" s="14">
        <f>פרוגרמה!B76</f>
        <v>0</v>
      </c>
      <c r="C64" s="14">
        <f>פרוגרמה!E76</f>
        <v>0</v>
      </c>
      <c r="D64" s="170">
        <f>פרוגרמה!H76</f>
        <v>0</v>
      </c>
      <c r="E64" s="170">
        <f>B64*C64</f>
        <v>0</v>
      </c>
      <c r="F64" s="170"/>
      <c r="G64" s="170">
        <f>E64*F64/1000</f>
        <v>0</v>
      </c>
      <c r="H64" s="74">
        <f t="shared" ref="H64:H65" si="0">C64*F64</f>
        <v>0</v>
      </c>
    </row>
    <row r="65" spans="1:16" s="12" customFormat="1" ht="20.100000000000001" customHeight="1" x14ac:dyDescent="0.2">
      <c r="A65" s="322" t="s">
        <v>72</v>
      </c>
      <c r="B65" s="14">
        <f>פרוגרמה!B77</f>
        <v>0</v>
      </c>
      <c r="C65" s="14">
        <f>פרוגרמה!E77</f>
        <v>0</v>
      </c>
      <c r="D65" s="170">
        <f>פרוגרמה!H77</f>
        <v>0</v>
      </c>
      <c r="E65" s="170">
        <f>B65*C65</f>
        <v>0</v>
      </c>
      <c r="F65" s="170"/>
      <c r="G65" s="170">
        <f>E65*F65/1000</f>
        <v>0</v>
      </c>
      <c r="H65" s="74">
        <f t="shared" si="0"/>
        <v>0</v>
      </c>
    </row>
    <row r="66" spans="1:16" s="5" customFormat="1" ht="22.5" customHeight="1" x14ac:dyDescent="0.2">
      <c r="A66" s="75" t="s">
        <v>241</v>
      </c>
      <c r="B66" s="47">
        <f>SUM(B64:B65)</f>
        <v>0</v>
      </c>
      <c r="C66" s="47" t="e">
        <f>E66/B66</f>
        <v>#DIV/0!</v>
      </c>
      <c r="D66" s="47"/>
      <c r="E66" s="47">
        <f>SUM(E64:E65)</f>
        <v>0</v>
      </c>
      <c r="F66" s="226" t="e">
        <f>G66/E66*1000</f>
        <v>#DIV/0!</v>
      </c>
      <c r="G66" s="47">
        <f>SUM(G64:G65)</f>
        <v>0</v>
      </c>
      <c r="H66" s="76" t="e">
        <f>G66/B66*1000</f>
        <v>#DIV/0!</v>
      </c>
    </row>
    <row r="67" spans="1:16" ht="20.100000000000001" customHeight="1" x14ac:dyDescent="0.2">
      <c r="A67" s="75" t="s">
        <v>31</v>
      </c>
      <c r="B67" s="102"/>
      <c r="C67" s="102"/>
      <c r="D67" s="127"/>
      <c r="E67" s="127"/>
      <c r="F67" s="219"/>
      <c r="G67" s="226">
        <f>G66/1.17</f>
        <v>0</v>
      </c>
      <c r="H67" s="294" t="e">
        <f>G67/B66*1000</f>
        <v>#DIV/0!</v>
      </c>
      <c r="I67" s="106"/>
      <c r="J67" s="110"/>
      <c r="N67" s="24"/>
      <c r="O67" s="24"/>
      <c r="P67" s="24"/>
    </row>
    <row r="68" spans="1:16" ht="20.100000000000001" customHeight="1" x14ac:dyDescent="0.2">
      <c r="A68" s="298"/>
      <c r="B68" s="299"/>
      <c r="C68" s="300"/>
      <c r="D68" s="301"/>
      <c r="E68" s="302"/>
      <c r="F68" s="303"/>
      <c r="G68" s="304"/>
      <c r="H68" s="305"/>
      <c r="I68" s="106"/>
      <c r="J68" s="110"/>
      <c r="N68" s="24"/>
      <c r="O68" s="24"/>
      <c r="P68" s="24"/>
    </row>
    <row r="69" spans="1:16" ht="20.100000000000001" customHeight="1" thickBot="1" x14ac:dyDescent="0.25">
      <c r="A69" s="77" t="s">
        <v>168</v>
      </c>
      <c r="B69" s="109"/>
      <c r="C69" s="109"/>
      <c r="D69" s="171"/>
      <c r="E69" s="171"/>
      <c r="F69" s="220"/>
      <c r="G69" s="172">
        <f>G67</f>
        <v>0</v>
      </c>
      <c r="H69" s="78"/>
      <c r="I69" s="106"/>
      <c r="J69" s="110"/>
      <c r="N69" s="24"/>
      <c r="O69" s="24"/>
      <c r="P69" s="24"/>
    </row>
    <row r="70" spans="1:16" ht="20.100000000000001" customHeight="1" x14ac:dyDescent="0.2">
      <c r="A70" s="62"/>
      <c r="B70" s="62"/>
      <c r="C70" s="62"/>
      <c r="D70" s="62"/>
      <c r="E70" s="65"/>
      <c r="F70" s="65"/>
      <c r="G70" s="63"/>
      <c r="H70" s="63"/>
      <c r="I70" s="221"/>
      <c r="J70" s="189"/>
      <c r="K70" s="80"/>
      <c r="M70" s="110"/>
    </row>
    <row r="71" spans="1:16" ht="20.100000000000001" customHeight="1" thickBot="1" x14ac:dyDescent="0.25">
      <c r="A71" s="62"/>
      <c r="B71" s="62"/>
      <c r="C71" s="62"/>
      <c r="D71" s="62"/>
      <c r="E71" s="65"/>
      <c r="F71" s="65"/>
      <c r="G71" s="63"/>
      <c r="H71" s="63"/>
      <c r="I71" s="221"/>
      <c r="J71" s="140"/>
      <c r="K71" s="80"/>
      <c r="M71" s="110"/>
    </row>
    <row r="72" spans="1:16" s="25" customFormat="1" ht="20.100000000000001" customHeight="1" x14ac:dyDescent="0.2">
      <c r="A72" s="73" t="s">
        <v>81</v>
      </c>
      <c r="B72" s="240"/>
      <c r="C72" s="240"/>
      <c r="D72" s="240"/>
      <c r="E72" s="251"/>
      <c r="F72" s="111"/>
      <c r="G72" s="323"/>
      <c r="H72" s="112"/>
      <c r="I72" s="112"/>
    </row>
    <row r="73" spans="1:16" s="27" customFormat="1" ht="52.5" customHeight="1" x14ac:dyDescent="0.2">
      <c r="A73" s="26"/>
      <c r="B73" s="242" t="s">
        <v>129</v>
      </c>
      <c r="C73" s="242" t="s">
        <v>130</v>
      </c>
      <c r="D73" s="242" t="s">
        <v>145</v>
      </c>
      <c r="E73" s="252" t="s">
        <v>29</v>
      </c>
    </row>
    <row r="74" spans="1:16" s="25" customFormat="1" ht="21.75" customHeight="1" x14ac:dyDescent="0.2">
      <c r="A74" s="28" t="s">
        <v>153</v>
      </c>
      <c r="B74" s="101"/>
      <c r="C74" s="340"/>
      <c r="D74" s="101"/>
      <c r="E74" s="346"/>
      <c r="F74" s="112"/>
      <c r="G74" s="113"/>
      <c r="H74" s="112"/>
      <c r="I74" s="112"/>
    </row>
    <row r="75" spans="1:16" s="25" customFormat="1" ht="18.75" customHeight="1" x14ac:dyDescent="0.2">
      <c r="A75" s="28" t="s">
        <v>154</v>
      </c>
      <c r="B75" s="101"/>
      <c r="C75" s="340"/>
      <c r="D75" s="101"/>
      <c r="E75" s="346"/>
      <c r="F75" s="112"/>
      <c r="G75" s="113"/>
      <c r="H75" s="112"/>
      <c r="I75" s="112"/>
    </row>
    <row r="76" spans="1:16" s="25" customFormat="1" ht="21.75" customHeight="1" x14ac:dyDescent="0.2">
      <c r="A76" s="28" t="s">
        <v>155</v>
      </c>
      <c r="B76" s="101">
        <f>פרוגרמה!B69</f>
        <v>0</v>
      </c>
      <c r="C76" s="340" t="s">
        <v>132</v>
      </c>
      <c r="D76" s="101"/>
      <c r="E76" s="346"/>
      <c r="F76" s="112"/>
      <c r="G76" s="113"/>
      <c r="H76" s="112"/>
      <c r="I76" s="112"/>
    </row>
    <row r="77" spans="1:16" s="25" customFormat="1" ht="36" customHeight="1" x14ac:dyDescent="0.2">
      <c r="A77" s="28" t="s">
        <v>156</v>
      </c>
      <c r="B77" s="101"/>
      <c r="C77" s="340"/>
      <c r="D77" s="101"/>
      <c r="E77" s="346"/>
      <c r="F77" s="112"/>
      <c r="G77" s="113"/>
      <c r="H77" s="112"/>
      <c r="I77" s="112"/>
    </row>
    <row r="78" spans="1:16" s="25" customFormat="1" ht="72.75" customHeight="1" x14ac:dyDescent="0.2">
      <c r="A78" s="29" t="s">
        <v>245</v>
      </c>
      <c r="B78" s="383" t="s">
        <v>204</v>
      </c>
      <c r="C78" s="384"/>
      <c r="D78" s="384"/>
      <c r="E78" s="385"/>
      <c r="F78" s="111"/>
      <c r="G78" s="112"/>
      <c r="H78" s="112"/>
      <c r="I78" s="112"/>
    </row>
    <row r="79" spans="1:16" s="30" customFormat="1" ht="20.100000000000001" customHeight="1" thickBot="1" x14ac:dyDescent="0.25">
      <c r="A79" s="89" t="s">
        <v>82</v>
      </c>
      <c r="B79" s="277"/>
      <c r="C79" s="277"/>
      <c r="D79" s="277"/>
      <c r="E79" s="93">
        <f>SUM(E74:E78)</f>
        <v>0</v>
      </c>
      <c r="F79" s="115"/>
      <c r="G79" s="116"/>
      <c r="H79" s="116"/>
      <c r="I79" s="116"/>
    </row>
    <row r="80" spans="1:16" ht="19.5" customHeight="1" x14ac:dyDescent="0.2">
      <c r="A80" s="62"/>
      <c r="B80" s="62"/>
      <c r="C80" s="62"/>
      <c r="D80" s="62"/>
      <c r="E80" s="65"/>
      <c r="F80" s="65"/>
      <c r="G80" s="63"/>
      <c r="H80" s="63"/>
      <c r="I80" s="221"/>
      <c r="J80" s="140"/>
      <c r="K80" s="80"/>
      <c r="M80" s="110"/>
    </row>
    <row r="81" spans="1:16" ht="18.75" thickBot="1" x14ac:dyDescent="0.25">
      <c r="E81" s="117"/>
      <c r="G81" s="174"/>
      <c r="H81" s="174"/>
      <c r="I81" s="222"/>
      <c r="M81" s="105"/>
    </row>
    <row r="82" spans="1:16" ht="19.5" customHeight="1" x14ac:dyDescent="0.2">
      <c r="A82" s="73" t="s">
        <v>213</v>
      </c>
      <c r="B82" s="240"/>
      <c r="C82" s="240"/>
      <c r="D82" s="240"/>
      <c r="E82" s="108"/>
      <c r="F82" s="254"/>
      <c r="I82" s="106"/>
      <c r="J82" s="24"/>
      <c r="K82" s="24"/>
      <c r="L82" s="24"/>
      <c r="M82" s="24"/>
      <c r="N82" s="24"/>
      <c r="O82" s="24"/>
      <c r="P82" s="24"/>
    </row>
    <row r="83" spans="1:16" s="12" customFormat="1" x14ac:dyDescent="0.2">
      <c r="A83" s="10"/>
      <c r="B83" s="242" t="s">
        <v>129</v>
      </c>
      <c r="C83" s="284" t="s">
        <v>130</v>
      </c>
      <c r="D83" s="242" t="s">
        <v>145</v>
      </c>
      <c r="E83" s="11" t="s">
        <v>143</v>
      </c>
      <c r="F83" s="255" t="s">
        <v>29</v>
      </c>
    </row>
    <row r="84" spans="1:16" ht="20.100000000000001" customHeight="1" x14ac:dyDescent="0.2">
      <c r="A84" s="81" t="s">
        <v>32</v>
      </c>
      <c r="B84" s="243"/>
      <c r="C84" s="243"/>
      <c r="D84" s="243"/>
      <c r="E84" s="102"/>
      <c r="F84" s="256"/>
      <c r="I84" s="106"/>
      <c r="J84" s="24"/>
      <c r="K84" s="24"/>
      <c r="L84" s="24"/>
      <c r="M84" s="24"/>
      <c r="N84" s="24"/>
      <c r="O84" s="24"/>
      <c r="P84" s="24"/>
    </row>
    <row r="85" spans="1:16" ht="20.100000000000001" customHeight="1" x14ac:dyDescent="0.2">
      <c r="A85" s="83" t="s">
        <v>4</v>
      </c>
      <c r="B85" s="50">
        <f>פרוגרמה!K78</f>
        <v>0</v>
      </c>
      <c r="C85" s="244" t="s">
        <v>131</v>
      </c>
      <c r="D85" s="175">
        <f>B23</f>
        <v>0</v>
      </c>
      <c r="E85" s="102"/>
      <c r="F85" s="257">
        <f>B85*D85/1000</f>
        <v>0</v>
      </c>
      <c r="I85" s="106"/>
      <c r="J85" s="24"/>
      <c r="K85" s="24"/>
      <c r="L85" s="24"/>
      <c r="M85" s="24"/>
      <c r="N85" s="24"/>
      <c r="O85" s="24"/>
      <c r="P85" s="24"/>
    </row>
    <row r="86" spans="1:16" ht="20.100000000000001" customHeight="1" x14ac:dyDescent="0.2">
      <c r="A86" s="28" t="s">
        <v>113</v>
      </c>
      <c r="B86" s="50">
        <f>פרוגרמה!B10</f>
        <v>0</v>
      </c>
      <c r="C86" s="244" t="s">
        <v>131</v>
      </c>
      <c r="D86" s="103">
        <f>B24</f>
        <v>300</v>
      </c>
      <c r="E86" s="123">
        <f>פרוגרמה!$B$49</f>
        <v>0</v>
      </c>
      <c r="F86" s="257">
        <f>E86*B86*D86/1000</f>
        <v>0</v>
      </c>
      <c r="I86" s="106"/>
      <c r="J86" s="24"/>
      <c r="K86" s="24"/>
      <c r="L86" s="24"/>
      <c r="M86" s="24"/>
      <c r="N86" s="24"/>
      <c r="O86" s="24"/>
      <c r="P86" s="24"/>
    </row>
    <row r="87" spans="1:16" ht="20.100000000000001" customHeight="1" x14ac:dyDescent="0.2">
      <c r="A87" s="83" t="s">
        <v>34</v>
      </c>
      <c r="B87" s="50">
        <f>פרוגרמה!L78</f>
        <v>0</v>
      </c>
      <c r="C87" s="244" t="s">
        <v>131</v>
      </c>
      <c r="D87" s="175">
        <f>B27</f>
        <v>0</v>
      </c>
      <c r="E87" s="102"/>
      <c r="F87" s="257">
        <f>B87*D87/1000</f>
        <v>0</v>
      </c>
      <c r="I87" s="106"/>
      <c r="J87" s="24"/>
      <c r="K87" s="24"/>
      <c r="L87" s="24"/>
      <c r="M87" s="24"/>
      <c r="N87" s="24"/>
      <c r="O87" s="24"/>
      <c r="P87" s="24"/>
    </row>
    <row r="88" spans="1:16" ht="20.100000000000001" customHeight="1" x14ac:dyDescent="0.2">
      <c r="A88" s="83" t="s">
        <v>35</v>
      </c>
      <c r="B88" s="50">
        <f>פרוגרמה!M78</f>
        <v>0</v>
      </c>
      <c r="C88" s="244" t="s">
        <v>131</v>
      </c>
      <c r="D88" s="175">
        <f>B28</f>
        <v>0</v>
      </c>
      <c r="E88" s="102"/>
      <c r="F88" s="257">
        <f>B88*D88/1000</f>
        <v>0</v>
      </c>
      <c r="I88" s="106"/>
      <c r="J88" s="24"/>
      <c r="K88" s="24"/>
      <c r="L88" s="24"/>
      <c r="M88" s="24"/>
      <c r="N88" s="24"/>
      <c r="O88" s="24"/>
      <c r="P88" s="24"/>
    </row>
    <row r="89" spans="1:16" ht="20.100000000000001" customHeight="1" x14ac:dyDescent="0.2">
      <c r="A89" s="83" t="s">
        <v>36</v>
      </c>
      <c r="B89" s="50">
        <f>פרוגרמה!G96+פרוגרמה!G98</f>
        <v>0</v>
      </c>
      <c r="C89" s="244" t="s">
        <v>131</v>
      </c>
      <c r="D89" s="175">
        <f>B29</f>
        <v>0</v>
      </c>
      <c r="E89" s="102"/>
      <c r="F89" s="257">
        <f>B89*D89/1000</f>
        <v>0</v>
      </c>
      <c r="I89" s="106"/>
      <c r="J89" s="24"/>
      <c r="K89" s="24"/>
      <c r="L89" s="24"/>
      <c r="M89" s="24"/>
      <c r="N89" s="24"/>
      <c r="O89" s="24"/>
      <c r="P89" s="24"/>
    </row>
    <row r="90" spans="1:16" s="48" customFormat="1" ht="20.100000000000001" customHeight="1" x14ac:dyDescent="0.2">
      <c r="A90" s="84" t="s">
        <v>37</v>
      </c>
      <c r="B90" s="245"/>
      <c r="C90" s="245"/>
      <c r="D90" s="245"/>
      <c r="E90" s="121"/>
      <c r="F90" s="258">
        <f>SUM(F85:F89)</f>
        <v>0</v>
      </c>
      <c r="G90" s="72"/>
      <c r="H90" s="72"/>
      <c r="I90" s="336"/>
    </row>
    <row r="91" spans="1:16" ht="20.100000000000001" customHeight="1" x14ac:dyDescent="0.2">
      <c r="A91" s="83"/>
      <c r="B91" s="244"/>
      <c r="C91" s="244"/>
      <c r="D91" s="244"/>
      <c r="E91" s="102"/>
      <c r="F91" s="259"/>
      <c r="I91" s="105"/>
      <c r="J91" s="24"/>
      <c r="K91" s="24"/>
      <c r="L91" s="24"/>
      <c r="M91" s="24"/>
      <c r="N91" s="24"/>
      <c r="O91" s="24"/>
      <c r="P91" s="24"/>
    </row>
    <row r="92" spans="1:16" ht="20.100000000000001" customHeight="1" x14ac:dyDescent="0.2">
      <c r="A92" s="81" t="s">
        <v>38</v>
      </c>
      <c r="B92" s="243"/>
      <c r="C92" s="243"/>
      <c r="D92" s="243"/>
      <c r="E92" s="102"/>
      <c r="F92" s="259"/>
      <c r="I92" s="105"/>
      <c r="J92" s="24"/>
      <c r="K92" s="24"/>
      <c r="L92" s="24"/>
      <c r="M92" s="24"/>
      <c r="N92" s="24"/>
      <c r="O92" s="24"/>
      <c r="P92" s="24"/>
    </row>
    <row r="93" spans="1:16" ht="20.100000000000001" customHeight="1" x14ac:dyDescent="0.2">
      <c r="A93" s="85" t="s">
        <v>39</v>
      </c>
      <c r="B93" s="246"/>
      <c r="C93" s="246"/>
      <c r="D93" s="246"/>
      <c r="E93" s="102"/>
      <c r="F93" s="257"/>
      <c r="I93" s="106"/>
      <c r="J93" s="24"/>
      <c r="K93" s="24"/>
      <c r="L93" s="24"/>
      <c r="M93" s="24"/>
      <c r="N93" s="24"/>
      <c r="O93" s="24"/>
      <c r="P93" s="24"/>
    </row>
    <row r="94" spans="1:16" ht="20.100000000000001" customHeight="1" x14ac:dyDescent="0.2">
      <c r="A94" s="86" t="s">
        <v>87</v>
      </c>
      <c r="B94" s="50">
        <f>B85+B87</f>
        <v>0</v>
      </c>
      <c r="C94" s="244" t="s">
        <v>131</v>
      </c>
      <c r="D94" s="175">
        <f>B32</f>
        <v>0</v>
      </c>
      <c r="E94" s="102"/>
      <c r="F94" s="257">
        <f>B94*D94/1000</f>
        <v>0</v>
      </c>
      <c r="I94" s="106"/>
      <c r="J94" s="24"/>
      <c r="K94" s="24"/>
      <c r="L94" s="24"/>
      <c r="M94" s="24"/>
      <c r="N94" s="24"/>
      <c r="O94" s="24"/>
      <c r="P94" s="24"/>
    </row>
    <row r="95" spans="1:16" ht="20.100000000000001" customHeight="1" x14ac:dyDescent="0.2">
      <c r="A95" s="87" t="s">
        <v>40</v>
      </c>
      <c r="B95" s="50">
        <f>B89</f>
        <v>0</v>
      </c>
      <c r="C95" s="244" t="s">
        <v>131</v>
      </c>
      <c r="D95" s="175">
        <f>B33</f>
        <v>0</v>
      </c>
      <c r="E95" s="102"/>
      <c r="F95" s="260">
        <f>B95*D95/1000</f>
        <v>0</v>
      </c>
      <c r="I95" s="106"/>
      <c r="J95" s="24"/>
      <c r="K95" s="24"/>
      <c r="L95" s="24"/>
      <c r="M95" s="24"/>
      <c r="N95" s="24"/>
      <c r="O95" s="24"/>
      <c r="P95" s="24"/>
    </row>
    <row r="96" spans="1:16" s="48" customFormat="1" ht="20.100000000000001" customHeight="1" x14ac:dyDescent="0.2">
      <c r="A96" s="270" t="s">
        <v>41</v>
      </c>
      <c r="B96" s="271"/>
      <c r="C96" s="271"/>
      <c r="D96" s="271"/>
      <c r="E96" s="121"/>
      <c r="F96" s="258">
        <f>F94+F95</f>
        <v>0</v>
      </c>
      <c r="G96" s="72"/>
      <c r="H96" s="72"/>
      <c r="I96" s="72"/>
    </row>
    <row r="97" spans="1:16" ht="24.75" customHeight="1" x14ac:dyDescent="0.2">
      <c r="A97" s="83" t="s">
        <v>83</v>
      </c>
      <c r="B97" s="50">
        <f>פרוגרמה!B78</f>
        <v>0</v>
      </c>
      <c r="C97" s="244" t="s">
        <v>132</v>
      </c>
      <c r="D97" s="103">
        <f>B30</f>
        <v>0</v>
      </c>
      <c r="E97" s="102"/>
      <c r="F97" s="257">
        <f>B97*D97/1000</f>
        <v>0</v>
      </c>
      <c r="I97" s="106"/>
      <c r="J97" s="24"/>
      <c r="K97" s="24"/>
      <c r="L97" s="24"/>
      <c r="M97" s="24"/>
      <c r="N97" s="24"/>
      <c r="O97" s="24"/>
      <c r="P97" s="24"/>
    </row>
    <row r="98" spans="1:16" ht="24.75" customHeight="1" x14ac:dyDescent="0.2">
      <c r="A98" s="83" t="s">
        <v>42</v>
      </c>
      <c r="B98" s="50">
        <f>פרוגרמה!B78</f>
        <v>0</v>
      </c>
      <c r="C98" s="244" t="s">
        <v>132</v>
      </c>
      <c r="D98" s="103">
        <f>B34</f>
        <v>3000</v>
      </c>
      <c r="E98" s="102"/>
      <c r="F98" s="257">
        <f>D98*פרוגרמה!B78/1000</f>
        <v>0</v>
      </c>
      <c r="I98" s="106"/>
      <c r="J98" s="24"/>
      <c r="K98" s="24"/>
      <c r="L98" s="24"/>
      <c r="M98" s="24"/>
      <c r="N98" s="24"/>
      <c r="O98" s="24"/>
      <c r="P98" s="24"/>
    </row>
    <row r="99" spans="1:16" ht="23.25" customHeight="1" x14ac:dyDescent="0.2">
      <c r="A99" s="83" t="s">
        <v>43</v>
      </c>
      <c r="B99" s="99">
        <f>B36</f>
        <v>2.5000000000000001E-2</v>
      </c>
      <c r="C99" s="244" t="s">
        <v>195</v>
      </c>
      <c r="D99" s="244"/>
      <c r="E99" s="102"/>
      <c r="F99" s="257">
        <f>B99*G66</f>
        <v>0</v>
      </c>
      <c r="I99" s="106"/>
      <c r="J99" s="24"/>
      <c r="K99" s="24"/>
      <c r="L99" s="24"/>
      <c r="M99" s="24"/>
      <c r="N99" s="24"/>
      <c r="O99" s="24"/>
      <c r="P99" s="24"/>
    </row>
    <row r="100" spans="1:16" ht="25.5" customHeight="1" x14ac:dyDescent="0.2">
      <c r="A100" s="83" t="s">
        <v>44</v>
      </c>
      <c r="B100" s="123">
        <f>B37</f>
        <v>0.05</v>
      </c>
      <c r="C100" s="244" t="s">
        <v>51</v>
      </c>
      <c r="D100" s="244"/>
      <c r="E100" s="102"/>
      <c r="F100" s="257">
        <f>B100*F90</f>
        <v>0</v>
      </c>
      <c r="I100" s="106"/>
      <c r="J100" s="24"/>
      <c r="K100" s="24"/>
      <c r="L100" s="24"/>
      <c r="M100" s="24"/>
      <c r="N100" s="24"/>
      <c r="O100" s="24"/>
      <c r="P100" s="24"/>
    </row>
    <row r="101" spans="1:16" ht="22.5" customHeight="1" x14ac:dyDescent="0.2">
      <c r="A101" s="83" t="s">
        <v>45</v>
      </c>
      <c r="B101" s="99">
        <f>B46</f>
        <v>0.05</v>
      </c>
      <c r="C101" s="244" t="s">
        <v>51</v>
      </c>
      <c r="D101" s="244"/>
      <c r="E101" s="102"/>
      <c r="F101" s="257">
        <f>B101*F90</f>
        <v>0</v>
      </c>
      <c r="I101" s="106"/>
      <c r="J101" s="24"/>
      <c r="K101" s="24"/>
      <c r="L101" s="24"/>
      <c r="M101" s="24"/>
      <c r="N101" s="24"/>
      <c r="O101" s="24"/>
      <c r="P101" s="24"/>
    </row>
    <row r="102" spans="1:16" ht="22.5" customHeight="1" x14ac:dyDescent="0.2">
      <c r="A102" s="83"/>
      <c r="B102" s="312"/>
      <c r="C102" s="244"/>
      <c r="D102" s="244"/>
      <c r="E102" s="102"/>
      <c r="F102" s="257"/>
      <c r="I102" s="106"/>
      <c r="J102" s="24"/>
      <c r="K102" s="24"/>
      <c r="L102" s="24"/>
      <c r="M102" s="24"/>
      <c r="N102" s="24"/>
      <c r="O102" s="24"/>
      <c r="P102" s="24"/>
    </row>
    <row r="103" spans="1:16" s="48" customFormat="1" ht="20.100000000000001" customHeight="1" x14ac:dyDescent="0.2">
      <c r="A103" s="84" t="s">
        <v>46</v>
      </c>
      <c r="B103" s="245"/>
      <c r="C103" s="245"/>
      <c r="D103" s="245"/>
      <c r="E103" s="124"/>
      <c r="F103" s="258">
        <f>SUM(F96:F101)</f>
        <v>0</v>
      </c>
      <c r="G103" s="72"/>
      <c r="H103" s="72"/>
      <c r="I103" s="72"/>
    </row>
    <row r="104" spans="1:16" ht="20.100000000000001" customHeight="1" x14ac:dyDescent="0.2">
      <c r="A104" s="83"/>
      <c r="B104" s="244"/>
      <c r="C104" s="244"/>
      <c r="D104" s="244"/>
      <c r="E104" s="114"/>
      <c r="F104" s="257"/>
      <c r="I104" s="106"/>
      <c r="J104" s="24"/>
      <c r="K104" s="24"/>
      <c r="L104" s="24"/>
      <c r="M104" s="24"/>
      <c r="N104" s="24"/>
      <c r="O104" s="24"/>
      <c r="P104" s="24"/>
    </row>
    <row r="105" spans="1:16" s="48" customFormat="1" ht="20.100000000000001" customHeight="1" thickBot="1" x14ac:dyDescent="0.25">
      <c r="A105" s="89" t="s">
        <v>47</v>
      </c>
      <c r="B105" s="241"/>
      <c r="C105" s="241"/>
      <c r="D105" s="241"/>
      <c r="E105" s="125"/>
      <c r="F105" s="253">
        <f>F90+F103</f>
        <v>0</v>
      </c>
      <c r="G105" s="72"/>
      <c r="H105" s="72"/>
      <c r="I105" s="72"/>
    </row>
    <row r="106" spans="1:16" hidden="1" x14ac:dyDescent="0.2">
      <c r="A106" s="90"/>
      <c r="B106" s="90"/>
      <c r="C106" s="90"/>
      <c r="D106" s="90"/>
      <c r="E106" s="126" t="s">
        <v>103</v>
      </c>
      <c r="F106" s="64" t="e">
        <f>F105*1000/פרוגרמה!J78</f>
        <v>#DIV/0!</v>
      </c>
      <c r="I106" s="106"/>
      <c r="J106" s="24"/>
      <c r="K106" s="24"/>
      <c r="L106" s="24"/>
      <c r="M106" s="24"/>
      <c r="N106" s="24"/>
      <c r="O106" s="24"/>
      <c r="P106" s="24"/>
    </row>
    <row r="107" spans="1:16" ht="20.100000000000001" hidden="1" customHeight="1" x14ac:dyDescent="0.2">
      <c r="A107" s="33"/>
      <c r="B107" s="33"/>
      <c r="C107" s="33"/>
      <c r="D107" s="33"/>
      <c r="E107" s="126" t="s">
        <v>96</v>
      </c>
      <c r="F107" s="64" t="e">
        <f>F105*1000/פרוגרמה!E21</f>
        <v>#DIV/0!</v>
      </c>
      <c r="I107" s="106"/>
      <c r="J107" s="24"/>
      <c r="K107" s="24"/>
      <c r="L107" s="24"/>
      <c r="M107" s="24"/>
      <c r="N107" s="24"/>
      <c r="O107" s="24"/>
      <c r="P107" s="24"/>
    </row>
    <row r="108" spans="1:16" ht="20.100000000000001" customHeight="1" x14ac:dyDescent="0.2">
      <c r="A108" s="73" t="s">
        <v>48</v>
      </c>
      <c r="B108" s="240"/>
      <c r="C108" s="240"/>
      <c r="D108" s="240"/>
      <c r="E108" s="108"/>
      <c r="F108" s="254"/>
      <c r="I108" s="106"/>
      <c r="J108" s="24"/>
      <c r="K108" s="24"/>
      <c r="L108" s="24"/>
      <c r="M108" s="24"/>
      <c r="N108" s="24"/>
      <c r="O108" s="24"/>
      <c r="P108" s="24"/>
    </row>
    <row r="109" spans="1:16" ht="22.5" customHeight="1" x14ac:dyDescent="0.2">
      <c r="A109" s="13"/>
      <c r="B109" s="242" t="s">
        <v>129</v>
      </c>
      <c r="C109" s="284" t="s">
        <v>130</v>
      </c>
      <c r="D109" s="242" t="s">
        <v>145</v>
      </c>
      <c r="E109" s="11" t="s">
        <v>143</v>
      </c>
      <c r="F109" s="255" t="s">
        <v>29</v>
      </c>
      <c r="I109" s="106"/>
      <c r="J109" s="24"/>
      <c r="K109" s="24"/>
      <c r="L109" s="24"/>
      <c r="M109" s="24"/>
      <c r="N109" s="24"/>
      <c r="O109" s="24"/>
      <c r="P109" s="24"/>
    </row>
    <row r="110" spans="1:16" ht="20.100000000000001" customHeight="1" x14ac:dyDescent="0.2">
      <c r="A110" s="81" t="s">
        <v>32</v>
      </c>
      <c r="B110" s="243"/>
      <c r="C110" s="243"/>
      <c r="D110" s="243"/>
      <c r="E110" s="14"/>
      <c r="F110" s="256"/>
      <c r="I110" s="106"/>
      <c r="J110" s="24"/>
      <c r="K110" s="24"/>
      <c r="L110" s="24"/>
      <c r="M110" s="24"/>
      <c r="N110" s="24"/>
      <c r="O110" s="24"/>
      <c r="P110" s="24"/>
    </row>
    <row r="111" spans="1:16" ht="20.100000000000001" customHeight="1" x14ac:dyDescent="0.2">
      <c r="A111" s="83" t="s">
        <v>4</v>
      </c>
      <c r="B111" s="50">
        <f>פרוגרמה!K69</f>
        <v>0</v>
      </c>
      <c r="C111" s="244" t="s">
        <v>131</v>
      </c>
      <c r="D111" s="175">
        <f>B23</f>
        <v>0</v>
      </c>
      <c r="E111" s="102"/>
      <c r="F111" s="259">
        <f>B111*D111/1000</f>
        <v>0</v>
      </c>
      <c r="I111" s="106"/>
      <c r="J111" s="24"/>
      <c r="K111" s="24"/>
      <c r="L111" s="24"/>
      <c r="M111" s="24"/>
      <c r="N111" s="24"/>
      <c r="O111" s="24"/>
      <c r="P111" s="24"/>
    </row>
    <row r="112" spans="1:16" ht="20.100000000000001" customHeight="1" x14ac:dyDescent="0.2">
      <c r="A112" s="28" t="s">
        <v>113</v>
      </c>
      <c r="B112" s="50">
        <f>פרוגרמה!B10</f>
        <v>0</v>
      </c>
      <c r="C112" s="244" t="s">
        <v>131</v>
      </c>
      <c r="D112" s="175">
        <f>B24</f>
        <v>300</v>
      </c>
      <c r="E112" s="123">
        <f>פרוגרמה!$B$50</f>
        <v>0</v>
      </c>
      <c r="F112" s="257">
        <f>E112*B112*D112/1000</f>
        <v>0</v>
      </c>
      <c r="I112" s="106"/>
      <c r="J112" s="24"/>
      <c r="K112" s="24"/>
      <c r="L112" s="24"/>
      <c r="M112" s="24"/>
      <c r="N112" s="24"/>
      <c r="O112" s="24"/>
      <c r="P112" s="24"/>
    </row>
    <row r="113" spans="1:16" ht="20.100000000000001" customHeight="1" x14ac:dyDescent="0.2">
      <c r="A113" s="83" t="s">
        <v>34</v>
      </c>
      <c r="B113" s="50">
        <f>פרוגרמה!L69</f>
        <v>0</v>
      </c>
      <c r="C113" s="244" t="s">
        <v>131</v>
      </c>
      <c r="D113" s="175">
        <f>B27</f>
        <v>0</v>
      </c>
      <c r="E113" s="102"/>
      <c r="F113" s="259">
        <f>B113*D113/1000</f>
        <v>0</v>
      </c>
      <c r="I113" s="106"/>
      <c r="J113" s="24"/>
      <c r="K113" s="24"/>
      <c r="L113" s="24"/>
      <c r="M113" s="24"/>
      <c r="N113" s="24"/>
      <c r="O113" s="24"/>
      <c r="P113" s="24"/>
    </row>
    <row r="114" spans="1:16" ht="20.100000000000001" customHeight="1" x14ac:dyDescent="0.2">
      <c r="A114" s="83" t="s">
        <v>35</v>
      </c>
      <c r="B114" s="50"/>
      <c r="C114" s="244"/>
      <c r="D114" s="103"/>
      <c r="E114" s="102"/>
      <c r="F114" s="259">
        <f>B114*D114/1000</f>
        <v>0</v>
      </c>
      <c r="I114" s="106"/>
      <c r="J114" s="24"/>
      <c r="K114" s="24"/>
      <c r="L114" s="24"/>
      <c r="M114" s="24"/>
      <c r="N114" s="24"/>
      <c r="O114" s="24"/>
      <c r="P114" s="24"/>
    </row>
    <row r="115" spans="1:16" ht="20.100000000000001" customHeight="1" x14ac:dyDescent="0.2">
      <c r="A115" s="83" t="s">
        <v>36</v>
      </c>
      <c r="B115" s="50">
        <f>פרוגרמה!G87</f>
        <v>0</v>
      </c>
      <c r="C115" s="244" t="s">
        <v>131</v>
      </c>
      <c r="D115" s="175">
        <f>B29</f>
        <v>0</v>
      </c>
      <c r="E115" s="102"/>
      <c r="F115" s="259">
        <f>B115*D115/1000</f>
        <v>0</v>
      </c>
      <c r="I115" s="106"/>
      <c r="J115" s="24"/>
      <c r="K115" s="24"/>
      <c r="L115" s="24"/>
      <c r="M115" s="24"/>
      <c r="N115" s="24"/>
      <c r="O115" s="24"/>
      <c r="P115" s="24"/>
    </row>
    <row r="116" spans="1:16" s="48" customFormat="1" ht="20.100000000000001" customHeight="1" x14ac:dyDescent="0.2">
      <c r="A116" s="84" t="s">
        <v>37</v>
      </c>
      <c r="B116" s="121"/>
      <c r="C116" s="245"/>
      <c r="D116" s="176"/>
      <c r="E116" s="121"/>
      <c r="F116" s="261">
        <f>SUM(F111:F115)</f>
        <v>0</v>
      </c>
      <c r="G116" s="72"/>
      <c r="H116" s="72"/>
      <c r="I116" s="72"/>
    </row>
    <row r="117" spans="1:16" ht="7.5" customHeight="1" x14ac:dyDescent="0.2">
      <c r="A117" s="83"/>
      <c r="B117" s="102"/>
      <c r="C117" s="244"/>
      <c r="D117" s="103"/>
      <c r="E117" s="102"/>
      <c r="F117" s="259"/>
      <c r="I117" s="106"/>
      <c r="J117" s="24"/>
      <c r="K117" s="24"/>
      <c r="L117" s="24"/>
      <c r="M117" s="24"/>
      <c r="N117" s="24"/>
      <c r="O117" s="24"/>
      <c r="P117" s="24"/>
    </row>
    <row r="118" spans="1:16" ht="20.100000000000001" customHeight="1" x14ac:dyDescent="0.2">
      <c r="A118" s="81" t="s">
        <v>38</v>
      </c>
      <c r="B118" s="102"/>
      <c r="C118" s="243"/>
      <c r="D118" s="103"/>
      <c r="E118" s="102"/>
      <c r="F118" s="259"/>
      <c r="I118" s="106"/>
      <c r="J118" s="24"/>
      <c r="K118" s="24"/>
      <c r="L118" s="24"/>
      <c r="M118" s="24"/>
      <c r="N118" s="24"/>
      <c r="O118" s="24"/>
      <c r="P118" s="24"/>
    </row>
    <row r="119" spans="1:16" ht="20.100000000000001" customHeight="1" x14ac:dyDescent="0.2">
      <c r="A119" s="85" t="s">
        <v>39</v>
      </c>
      <c r="B119" s="50"/>
      <c r="C119" s="246"/>
      <c r="D119" s="175"/>
      <c r="E119" s="102"/>
      <c r="F119" s="257"/>
      <c r="I119" s="106"/>
      <c r="J119" s="24"/>
      <c r="K119" s="24"/>
      <c r="L119" s="24"/>
      <c r="M119" s="24"/>
      <c r="N119" s="24"/>
      <c r="O119" s="24"/>
      <c r="P119" s="24"/>
    </row>
    <row r="120" spans="1:16" ht="20.100000000000001" customHeight="1" x14ac:dyDescent="0.2">
      <c r="A120" s="86" t="s">
        <v>4</v>
      </c>
      <c r="B120" s="50">
        <f>B111+B113</f>
        <v>0</v>
      </c>
      <c r="C120" s="244" t="s">
        <v>131</v>
      </c>
      <c r="D120" s="175">
        <f>B32</f>
        <v>0</v>
      </c>
      <c r="E120" s="102"/>
      <c r="F120" s="257">
        <f>B120*D120/1000</f>
        <v>0</v>
      </c>
      <c r="I120" s="106"/>
      <c r="J120" s="24"/>
      <c r="K120" s="24"/>
      <c r="L120" s="24"/>
      <c r="M120" s="24"/>
      <c r="N120" s="24"/>
      <c r="O120" s="24"/>
      <c r="P120" s="24"/>
    </row>
    <row r="121" spans="1:16" ht="20.100000000000001" customHeight="1" x14ac:dyDescent="0.2">
      <c r="A121" s="86" t="s">
        <v>49</v>
      </c>
      <c r="B121" s="50">
        <f>B112</f>
        <v>0</v>
      </c>
      <c r="C121" s="244" t="s">
        <v>131</v>
      </c>
      <c r="D121" s="175">
        <f>B32</f>
        <v>0</v>
      </c>
      <c r="E121" s="141"/>
      <c r="F121" s="257">
        <f>-B121*D121/1000</f>
        <v>0</v>
      </c>
      <c r="I121" s="106"/>
      <c r="J121" s="24"/>
      <c r="K121" s="24"/>
      <c r="L121" s="24"/>
      <c r="M121" s="24"/>
      <c r="N121" s="24"/>
      <c r="O121" s="24"/>
      <c r="P121" s="24"/>
    </row>
    <row r="122" spans="1:16" ht="20.100000000000001" customHeight="1" x14ac:dyDescent="0.2">
      <c r="A122" s="86" t="s">
        <v>40</v>
      </c>
      <c r="B122" s="50">
        <f>B115</f>
        <v>0</v>
      </c>
      <c r="C122" s="244" t="s">
        <v>131</v>
      </c>
      <c r="D122" s="175">
        <f>B33</f>
        <v>0</v>
      </c>
      <c r="E122" s="102"/>
      <c r="F122" s="257">
        <f>B122*D122/1000</f>
        <v>0</v>
      </c>
      <c r="I122" s="106"/>
      <c r="J122" s="24"/>
      <c r="K122" s="24"/>
      <c r="L122" s="24"/>
      <c r="M122" s="24"/>
      <c r="N122" s="24"/>
      <c r="O122" s="24"/>
      <c r="P122" s="24"/>
    </row>
    <row r="123" spans="1:16" s="48" customFormat="1" ht="20.100000000000001" customHeight="1" x14ac:dyDescent="0.2">
      <c r="A123" s="270" t="s">
        <v>41</v>
      </c>
      <c r="B123" s="46"/>
      <c r="C123" s="271"/>
      <c r="D123" s="271"/>
      <c r="E123" s="121"/>
      <c r="F123" s="258">
        <f>SUM(F120:F122)</f>
        <v>0</v>
      </c>
      <c r="G123" s="72"/>
      <c r="H123" s="72"/>
      <c r="I123" s="72"/>
    </row>
    <row r="124" spans="1:16" s="48" customFormat="1" ht="6" hidden="1" customHeight="1" x14ac:dyDescent="0.2">
      <c r="A124" s="270"/>
      <c r="B124" s="46"/>
      <c r="C124" s="271"/>
      <c r="D124" s="271"/>
      <c r="E124" s="121"/>
      <c r="F124" s="258"/>
      <c r="G124" s="72"/>
      <c r="H124" s="72"/>
      <c r="I124" s="72"/>
    </row>
    <row r="125" spans="1:16" ht="25.5" customHeight="1" x14ac:dyDescent="0.2">
      <c r="A125" s="83" t="s">
        <v>83</v>
      </c>
      <c r="B125" s="50">
        <f>פרוגרמה!B69</f>
        <v>0</v>
      </c>
      <c r="C125" s="244" t="s">
        <v>132</v>
      </c>
      <c r="D125" s="103">
        <f>B30</f>
        <v>0</v>
      </c>
      <c r="E125" s="102"/>
      <c r="F125" s="257">
        <f>B125*D125/1000</f>
        <v>0</v>
      </c>
      <c r="I125" s="106"/>
      <c r="J125" s="24"/>
      <c r="K125" s="24"/>
      <c r="L125" s="24"/>
      <c r="M125" s="24"/>
      <c r="N125" s="24"/>
      <c r="O125" s="24"/>
      <c r="P125" s="24"/>
    </row>
    <row r="126" spans="1:16" ht="18.75" customHeight="1" x14ac:dyDescent="0.2">
      <c r="A126" s="83" t="s">
        <v>42</v>
      </c>
      <c r="B126" s="50">
        <f>פרוגרמה!B69</f>
        <v>0</v>
      </c>
      <c r="C126" s="244" t="s">
        <v>132</v>
      </c>
      <c r="D126" s="103">
        <f>B34</f>
        <v>3000</v>
      </c>
      <c r="E126" s="102"/>
      <c r="F126" s="257">
        <f>D126*פרוגרמה!B69/1000</f>
        <v>0</v>
      </c>
      <c r="I126" s="106"/>
      <c r="J126" s="24"/>
      <c r="K126" s="24"/>
      <c r="L126" s="24"/>
      <c r="M126" s="24"/>
      <c r="N126" s="24"/>
      <c r="O126" s="24"/>
      <c r="P126" s="24"/>
    </row>
    <row r="127" spans="1:16" ht="18" customHeight="1" x14ac:dyDescent="0.2">
      <c r="A127" s="28" t="s">
        <v>100</v>
      </c>
      <c r="B127" s="127">
        <f>B39</f>
        <v>0</v>
      </c>
      <c r="C127" s="244" t="s">
        <v>132</v>
      </c>
      <c r="D127" s="103">
        <f>B40*B41</f>
        <v>0</v>
      </c>
      <c r="E127" s="102"/>
      <c r="F127" s="257">
        <f>B127*D127/1000</f>
        <v>0</v>
      </c>
      <c r="I127" s="106"/>
      <c r="J127" s="24"/>
      <c r="K127" s="24"/>
      <c r="L127" s="24"/>
      <c r="M127" s="24"/>
      <c r="N127" s="24"/>
      <c r="O127" s="24"/>
      <c r="P127" s="24"/>
    </row>
    <row r="128" spans="1:16" ht="22.5" customHeight="1" x14ac:dyDescent="0.2">
      <c r="A128" s="28" t="s">
        <v>155</v>
      </c>
      <c r="B128" s="127">
        <f>פרוגרמה!E14</f>
        <v>0</v>
      </c>
      <c r="C128" s="244" t="s">
        <v>132</v>
      </c>
      <c r="D128" s="103">
        <f>B38-D76</f>
        <v>5000</v>
      </c>
      <c r="E128" s="102"/>
      <c r="F128" s="257">
        <f>B128*D128/1000</f>
        <v>0</v>
      </c>
      <c r="I128" s="106"/>
      <c r="J128" s="24"/>
      <c r="K128" s="24"/>
      <c r="L128" s="24"/>
      <c r="M128" s="24"/>
      <c r="N128" s="24"/>
      <c r="O128" s="24"/>
      <c r="P128" s="24"/>
    </row>
    <row r="129" spans="1:16" ht="22.5" customHeight="1" x14ac:dyDescent="0.2">
      <c r="A129" s="28" t="s">
        <v>200</v>
      </c>
      <c r="B129" s="127">
        <f>B5-B130</f>
        <v>0</v>
      </c>
      <c r="C129" s="244"/>
      <c r="D129" s="103">
        <f>B42</f>
        <v>2000</v>
      </c>
      <c r="E129" s="102"/>
      <c r="F129" s="257">
        <f>D129*B129/1000</f>
        <v>0</v>
      </c>
      <c r="I129" s="106"/>
      <c r="J129" s="24"/>
      <c r="K129" s="24"/>
      <c r="L129" s="24"/>
      <c r="M129" s="24"/>
      <c r="N129" s="24"/>
      <c r="O129" s="24"/>
      <c r="P129" s="24"/>
    </row>
    <row r="130" spans="1:16" ht="18.75" customHeight="1" x14ac:dyDescent="0.2">
      <c r="A130" s="28" t="s">
        <v>201</v>
      </c>
      <c r="B130" s="127">
        <f>B39</f>
        <v>0</v>
      </c>
      <c r="C130" s="244" t="s">
        <v>191</v>
      </c>
      <c r="D130" s="103">
        <f>B42*2</f>
        <v>4000</v>
      </c>
      <c r="E130" s="102"/>
      <c r="F130" s="257">
        <f>D130*B130/1000</f>
        <v>0</v>
      </c>
      <c r="I130" s="106"/>
      <c r="J130" s="24"/>
      <c r="K130" s="24"/>
      <c r="L130" s="24"/>
      <c r="M130" s="24"/>
      <c r="N130" s="24"/>
      <c r="O130" s="24"/>
      <c r="P130" s="24"/>
    </row>
    <row r="131" spans="1:16" ht="21.75" customHeight="1" x14ac:dyDescent="0.2">
      <c r="A131" s="83" t="s">
        <v>50</v>
      </c>
      <c r="B131" s="123">
        <f>B43</f>
        <v>0</v>
      </c>
      <c r="C131" s="285"/>
      <c r="D131" s="103" t="e">
        <f>F131*1000/פרוגרמה!B69</f>
        <v>#DIV/0!</v>
      </c>
      <c r="E131" s="102"/>
      <c r="F131" s="257">
        <v>0</v>
      </c>
      <c r="I131" s="106"/>
      <c r="J131" s="24"/>
      <c r="K131" s="24"/>
      <c r="L131" s="24"/>
      <c r="M131" s="79"/>
      <c r="N131" s="79"/>
      <c r="O131" s="24"/>
      <c r="P131" s="24"/>
    </row>
    <row r="132" spans="1:16" ht="20.25" customHeight="1" x14ac:dyDescent="0.2">
      <c r="A132" s="83" t="s">
        <v>45</v>
      </c>
      <c r="B132" s="99">
        <f>B46</f>
        <v>0.05</v>
      </c>
      <c r="C132" s="285" t="s">
        <v>51</v>
      </c>
      <c r="D132" s="244"/>
      <c r="E132" s="102"/>
      <c r="F132" s="257">
        <f>B132*F116</f>
        <v>0</v>
      </c>
      <c r="I132" s="106"/>
      <c r="J132" s="24"/>
      <c r="K132" s="24"/>
      <c r="L132" s="24"/>
      <c r="M132" s="24"/>
      <c r="N132" s="24"/>
      <c r="O132" s="24"/>
      <c r="P132" s="24"/>
    </row>
    <row r="133" spans="1:16" ht="18" customHeight="1" x14ac:dyDescent="0.2">
      <c r="A133" s="83" t="s">
        <v>44</v>
      </c>
      <c r="B133" s="123">
        <f>B37</f>
        <v>0.05</v>
      </c>
      <c r="C133" s="285" t="s">
        <v>51</v>
      </c>
      <c r="D133" s="244"/>
      <c r="E133" s="102"/>
      <c r="F133" s="257">
        <f>B133*F116</f>
        <v>0</v>
      </c>
      <c r="I133" s="106"/>
      <c r="J133" s="24"/>
      <c r="K133" s="24"/>
      <c r="L133" s="24"/>
      <c r="M133" s="24"/>
      <c r="N133" s="24"/>
      <c r="O133" s="24"/>
      <c r="P133" s="24"/>
    </row>
    <row r="134" spans="1:16" s="48" customFormat="1" ht="20.100000000000001" customHeight="1" x14ac:dyDescent="0.2">
      <c r="A134" s="84" t="s">
        <v>46</v>
      </c>
      <c r="B134" s="124"/>
      <c r="C134" s="245"/>
      <c r="D134" s="245"/>
      <c r="E134" s="102"/>
      <c r="F134" s="258">
        <f>SUM(F123:F133)</f>
        <v>0</v>
      </c>
      <c r="G134" s="72"/>
      <c r="H134" s="72"/>
      <c r="I134" s="72"/>
    </row>
    <row r="135" spans="1:16" s="48" customFormat="1" ht="20.100000000000001" customHeight="1" x14ac:dyDescent="0.2">
      <c r="A135" s="84" t="s">
        <v>52</v>
      </c>
      <c r="B135" s="124"/>
      <c r="C135" s="245"/>
      <c r="D135" s="245"/>
      <c r="E135" s="102"/>
      <c r="F135" s="261">
        <f>F116+F134</f>
        <v>0</v>
      </c>
      <c r="G135" s="72"/>
      <c r="H135" s="72"/>
      <c r="I135" s="72"/>
    </row>
    <row r="136" spans="1:16" ht="20.100000000000001" customHeight="1" x14ac:dyDescent="0.2">
      <c r="A136" s="83" t="s">
        <v>53</v>
      </c>
      <c r="B136" s="128">
        <f>B47</f>
        <v>0.05</v>
      </c>
      <c r="C136" s="381" t="s">
        <v>196</v>
      </c>
      <c r="D136" s="382"/>
      <c r="E136" s="102"/>
      <c r="F136" s="257">
        <f>B136*F135</f>
        <v>0</v>
      </c>
      <c r="I136" s="106"/>
      <c r="J136" s="24"/>
      <c r="K136" s="24"/>
      <c r="L136" s="24"/>
      <c r="M136" s="24"/>
      <c r="N136" s="24"/>
      <c r="O136" s="24"/>
      <c r="P136" s="24"/>
    </row>
    <row r="137" spans="1:16" s="48" customFormat="1" ht="20.100000000000001" customHeight="1" thickBot="1" x14ac:dyDescent="0.25">
      <c r="A137" s="89" t="s">
        <v>54</v>
      </c>
      <c r="B137" s="125"/>
      <c r="C137" s="241"/>
      <c r="D137" s="241"/>
      <c r="E137" s="125"/>
      <c r="F137" s="262">
        <f>F135+F136</f>
        <v>0</v>
      </c>
      <c r="G137" s="335"/>
      <c r="H137" s="72"/>
      <c r="I137" s="72"/>
    </row>
    <row r="138" spans="1:16" s="48" customFormat="1" ht="20.100000000000001" hidden="1" customHeight="1" x14ac:dyDescent="0.2">
      <c r="A138" s="91"/>
      <c r="B138" s="91"/>
      <c r="C138" s="91"/>
      <c r="D138" s="91"/>
      <c r="E138" s="126" t="s">
        <v>103</v>
      </c>
      <c r="F138" s="64" t="e">
        <f>F137*1000/פרוגרמה!J69</f>
        <v>#DIV/0!</v>
      </c>
      <c r="G138" s="129"/>
      <c r="H138" s="179"/>
      <c r="I138" s="106"/>
      <c r="J138" s="106"/>
      <c r="K138" s="106"/>
      <c r="L138" s="106"/>
      <c r="M138" s="72"/>
      <c r="N138" s="72"/>
      <c r="O138" s="72"/>
      <c r="P138" s="72"/>
    </row>
    <row r="139" spans="1:16" s="48" customFormat="1" ht="20.100000000000001" hidden="1" customHeight="1" x14ac:dyDescent="0.2">
      <c r="A139" s="91"/>
      <c r="B139" s="91"/>
      <c r="C139" s="91"/>
      <c r="D139" s="91"/>
      <c r="E139" s="126" t="s">
        <v>96</v>
      </c>
      <c r="F139" s="64" t="e">
        <f>F137*1000/פרוגרמה!E14</f>
        <v>#DIV/0!</v>
      </c>
      <c r="G139" s="129"/>
      <c r="H139" s="179"/>
      <c r="I139" s="106"/>
      <c r="J139" s="106"/>
      <c r="K139" s="106"/>
      <c r="L139" s="106"/>
      <c r="M139" s="72"/>
      <c r="N139" s="72"/>
      <c r="O139" s="72"/>
      <c r="P139" s="72"/>
    </row>
    <row r="140" spans="1:16" s="48" customFormat="1" ht="20.100000000000001" customHeight="1" x14ac:dyDescent="0.2">
      <c r="A140" s="91"/>
      <c r="B140" s="91"/>
      <c r="C140" s="91"/>
      <c r="D140" s="91"/>
      <c r="E140" s="126"/>
      <c r="F140" s="64"/>
      <c r="G140" s="129"/>
      <c r="H140" s="179"/>
      <c r="I140" s="106"/>
      <c r="J140" s="106"/>
      <c r="K140" s="106"/>
      <c r="L140" s="106"/>
      <c r="M140" s="72"/>
      <c r="N140" s="72"/>
      <c r="O140" s="72"/>
      <c r="P140" s="72"/>
    </row>
    <row r="141" spans="1:16" s="48" customFormat="1" ht="20.100000000000001" hidden="1" customHeight="1" x14ac:dyDescent="0.2">
      <c r="A141" s="91"/>
      <c r="B141" s="91"/>
      <c r="C141" s="91"/>
      <c r="D141" s="91"/>
      <c r="E141" s="126"/>
      <c r="F141" s="64"/>
      <c r="G141" s="129"/>
      <c r="H141" s="179"/>
      <c r="I141" s="106"/>
      <c r="J141" s="106"/>
      <c r="K141" s="106"/>
      <c r="L141" s="106"/>
      <c r="M141" s="72"/>
      <c r="N141" s="72"/>
      <c r="O141" s="72"/>
      <c r="P141" s="72"/>
    </row>
    <row r="142" spans="1:16" s="48" customFormat="1" ht="20.100000000000001" hidden="1" customHeight="1" x14ac:dyDescent="0.2">
      <c r="A142" s="91"/>
      <c r="B142" s="91"/>
      <c r="C142" s="91"/>
      <c r="D142" s="91"/>
      <c r="E142" s="126"/>
      <c r="F142" s="64"/>
      <c r="G142" s="129"/>
      <c r="H142" s="179"/>
      <c r="I142" s="106"/>
      <c r="J142" s="106"/>
      <c r="K142" s="106"/>
      <c r="L142" s="106"/>
      <c r="M142" s="72"/>
      <c r="N142" s="72"/>
      <c r="O142" s="72"/>
      <c r="P142" s="72"/>
    </row>
    <row r="143" spans="1:16" s="48" customFormat="1" ht="20.100000000000001" hidden="1" customHeight="1" x14ac:dyDescent="0.2">
      <c r="A143" s="91"/>
      <c r="B143" s="91"/>
      <c r="C143" s="91"/>
      <c r="D143" s="91"/>
      <c r="E143" s="126"/>
      <c r="F143" s="64"/>
      <c r="G143" s="129"/>
      <c r="H143" s="179"/>
      <c r="I143" s="106"/>
      <c r="J143" s="106"/>
      <c r="K143" s="106"/>
      <c r="L143" s="106"/>
      <c r="M143" s="72"/>
      <c r="N143" s="72"/>
      <c r="O143" s="72"/>
      <c r="P143" s="72"/>
    </row>
    <row r="144" spans="1:16" s="48" customFormat="1" ht="20.100000000000001" hidden="1" customHeight="1" x14ac:dyDescent="0.2">
      <c r="A144" s="91"/>
      <c r="B144" s="91"/>
      <c r="C144" s="91"/>
      <c r="D144" s="91"/>
      <c r="E144" s="126"/>
      <c r="F144" s="64"/>
      <c r="G144" s="129"/>
      <c r="H144" s="179"/>
      <c r="I144" s="106"/>
      <c r="J144" s="106"/>
      <c r="K144" s="106"/>
      <c r="L144" s="106"/>
      <c r="M144" s="72"/>
      <c r="N144" s="72"/>
      <c r="O144" s="72"/>
      <c r="P144" s="72"/>
    </row>
    <row r="145" spans="1:16" s="48" customFormat="1" ht="20.100000000000001" hidden="1" customHeight="1" x14ac:dyDescent="0.2">
      <c r="A145" s="91"/>
      <c r="B145" s="91"/>
      <c r="C145" s="91"/>
      <c r="D145" s="91"/>
      <c r="E145" s="129"/>
      <c r="F145" s="178"/>
      <c r="G145" s="129"/>
      <c r="H145" s="179"/>
      <c r="I145" s="106"/>
      <c r="J145" s="106"/>
      <c r="K145" s="106"/>
      <c r="L145" s="106"/>
      <c r="M145" s="72"/>
      <c r="N145" s="72"/>
      <c r="O145" s="72"/>
      <c r="P145" s="72"/>
    </row>
    <row r="146" spans="1:16" ht="24.75" hidden="1" customHeight="1" thickBot="1" x14ac:dyDescent="0.25">
      <c r="A146" s="73" t="s">
        <v>242</v>
      </c>
      <c r="B146" s="108"/>
      <c r="C146" s="308"/>
      <c r="D146" s="108"/>
      <c r="E146" s="254"/>
      <c r="I146" s="106"/>
      <c r="J146" s="106"/>
      <c r="L146" s="24"/>
      <c r="M146" s="24"/>
      <c r="N146" s="24"/>
      <c r="O146" s="24"/>
      <c r="P146" s="24"/>
    </row>
    <row r="147" spans="1:16" ht="30.75" hidden="1" customHeight="1" thickBot="1" x14ac:dyDescent="0.25">
      <c r="A147" s="15"/>
      <c r="B147" s="16" t="s">
        <v>129</v>
      </c>
      <c r="C147" s="16" t="s">
        <v>130</v>
      </c>
      <c r="D147" s="17" t="s">
        <v>145</v>
      </c>
      <c r="E147" s="309" t="s">
        <v>29</v>
      </c>
      <c r="I147" s="106"/>
      <c r="J147" s="106"/>
      <c r="L147" s="24"/>
      <c r="M147" s="24"/>
      <c r="N147" s="24"/>
      <c r="O147" s="24"/>
      <c r="P147" s="24"/>
    </row>
    <row r="148" spans="1:16" ht="20.100000000000001" hidden="1" customHeight="1" x14ac:dyDescent="0.2">
      <c r="A148" s="364" t="s">
        <v>216</v>
      </c>
      <c r="B148" s="306">
        <v>0</v>
      </c>
      <c r="C148" s="306" t="s">
        <v>131</v>
      </c>
      <c r="D148" s="180">
        <v>6000</v>
      </c>
      <c r="E148" s="310">
        <f>B148*D148/1000</f>
        <v>0</v>
      </c>
      <c r="I148" s="106"/>
      <c r="J148" s="106"/>
      <c r="L148" s="24"/>
      <c r="M148" s="24"/>
      <c r="N148" s="24"/>
      <c r="O148" s="24"/>
      <c r="P148" s="24"/>
    </row>
    <row r="149" spans="1:16" ht="20.100000000000001" hidden="1" customHeight="1" x14ac:dyDescent="0.2">
      <c r="A149" s="83" t="s">
        <v>217</v>
      </c>
      <c r="B149" s="127">
        <v>0</v>
      </c>
      <c r="C149" s="127" t="s">
        <v>169</v>
      </c>
      <c r="D149" s="103">
        <v>100000</v>
      </c>
      <c r="E149" s="259">
        <f>B149*D149/1000</f>
        <v>0</v>
      </c>
      <c r="I149" s="106"/>
      <c r="J149" s="106"/>
      <c r="L149" s="24"/>
      <c r="M149" s="24"/>
      <c r="N149" s="24"/>
      <c r="O149" s="24"/>
      <c r="P149" s="24"/>
    </row>
    <row r="150" spans="1:16" s="48" customFormat="1" ht="20.100000000000001" hidden="1" customHeight="1" thickBot="1" x14ac:dyDescent="0.25">
      <c r="A150" s="89" t="s">
        <v>68</v>
      </c>
      <c r="B150" s="125"/>
      <c r="C150" s="311"/>
      <c r="D150" s="177"/>
      <c r="E150" s="262">
        <f>E148+E149</f>
        <v>0</v>
      </c>
      <c r="F150" s="106"/>
      <c r="G150" s="106"/>
      <c r="H150" s="106"/>
      <c r="I150" s="72"/>
      <c r="J150" s="72"/>
      <c r="K150" s="72"/>
    </row>
    <row r="151" spans="1:16" s="48" customFormat="1" ht="17.100000000000001" hidden="1" customHeight="1" x14ac:dyDescent="0.2">
      <c r="A151" s="307"/>
      <c r="B151" s="129"/>
      <c r="C151" s="179"/>
      <c r="D151" s="223"/>
      <c r="E151" s="106"/>
      <c r="F151" s="106"/>
      <c r="G151" s="106"/>
      <c r="H151" s="106"/>
      <c r="I151" s="72"/>
      <c r="J151" s="72"/>
      <c r="K151" s="72"/>
    </row>
    <row r="152" spans="1:16" s="48" customFormat="1" ht="17.100000000000001" customHeight="1" thickBot="1" x14ac:dyDescent="0.25">
      <c r="A152" s="311"/>
      <c r="B152" s="129"/>
      <c r="C152" s="179"/>
      <c r="D152" s="223"/>
      <c r="E152" s="106"/>
      <c r="F152" s="106"/>
      <c r="G152" s="106"/>
      <c r="H152" s="106"/>
      <c r="I152" s="72"/>
      <c r="J152" s="72"/>
      <c r="K152" s="72"/>
    </row>
    <row r="153" spans="1:16" ht="20.100000000000001" customHeight="1" thickBot="1" x14ac:dyDescent="0.25">
      <c r="A153" s="73" t="s">
        <v>67</v>
      </c>
      <c r="B153" s="240"/>
      <c r="C153" s="240"/>
      <c r="D153" s="240"/>
      <c r="E153" s="108"/>
      <c r="F153" s="254"/>
      <c r="G153" s="129"/>
      <c r="H153" s="179"/>
      <c r="I153" s="106"/>
      <c r="J153" s="106"/>
      <c r="N153" s="24"/>
      <c r="O153" s="24"/>
      <c r="P153" s="24"/>
    </row>
    <row r="154" spans="1:16" ht="27" customHeight="1" x14ac:dyDescent="0.2">
      <c r="A154" s="18"/>
      <c r="B154" s="247" t="s">
        <v>129</v>
      </c>
      <c r="C154" s="247"/>
      <c r="D154" s="118"/>
      <c r="E154" s="19"/>
      <c r="F154" s="263" t="s">
        <v>29</v>
      </c>
      <c r="G154" s="182"/>
      <c r="H154" s="182"/>
      <c r="I154" s="106"/>
      <c r="J154" s="106"/>
      <c r="N154" s="24"/>
      <c r="O154" s="24"/>
      <c r="P154" s="24"/>
    </row>
    <row r="155" spans="1:16" ht="63.75" customHeight="1" x14ac:dyDescent="0.2">
      <c r="A155" s="83" t="s">
        <v>126</v>
      </c>
      <c r="B155" s="99">
        <f>B48</f>
        <v>4.4999999999999998E-2</v>
      </c>
      <c r="C155" s="141" t="s">
        <v>165</v>
      </c>
      <c r="D155" s="141" t="s">
        <v>138</v>
      </c>
      <c r="E155" s="235">
        <f>B165+B166+B167+B168</f>
        <v>0</v>
      </c>
      <c r="F155" s="264">
        <f>B155*50%*50%*E155*B52</f>
        <v>0</v>
      </c>
      <c r="G155" s="182"/>
      <c r="H155" s="182"/>
      <c r="I155" s="224"/>
      <c r="J155" s="106"/>
      <c r="N155" s="24"/>
      <c r="O155" s="24"/>
      <c r="P155" s="24"/>
    </row>
    <row r="156" spans="1:16" ht="29.25" customHeight="1" x14ac:dyDescent="0.2">
      <c r="A156" s="83" t="s">
        <v>133</v>
      </c>
      <c r="B156" s="99">
        <f>B49</f>
        <v>5.0000000000000001E-3</v>
      </c>
      <c r="C156" s="228" t="s">
        <v>135</v>
      </c>
      <c r="D156" s="141" t="s">
        <v>138</v>
      </c>
      <c r="E156" s="181">
        <f>B165+B166+B167+B168</f>
        <v>0</v>
      </c>
      <c r="F156" s="264">
        <f>B156*E156</f>
        <v>0</v>
      </c>
      <c r="G156" s="182"/>
      <c r="H156" s="182"/>
      <c r="I156" s="224"/>
      <c r="J156" s="106"/>
      <c r="N156" s="24"/>
      <c r="O156" s="24"/>
      <c r="P156" s="24"/>
    </row>
    <row r="157" spans="1:16" ht="37.5" customHeight="1" x14ac:dyDescent="0.2">
      <c r="A157" s="83" t="s">
        <v>134</v>
      </c>
      <c r="B157" s="99">
        <f>B50</f>
        <v>8.9999999999999993E-3</v>
      </c>
      <c r="C157" s="141" t="s">
        <v>142</v>
      </c>
      <c r="D157" s="141" t="s">
        <v>139</v>
      </c>
      <c r="E157" s="181">
        <f>G66</f>
        <v>0</v>
      </c>
      <c r="F157" s="264">
        <f>B157*E157*50%*B52</f>
        <v>0</v>
      </c>
      <c r="G157" s="182"/>
      <c r="H157" s="182"/>
      <c r="I157" s="224"/>
      <c r="J157" s="106"/>
      <c r="N157" s="24"/>
      <c r="O157" s="24"/>
      <c r="P157" s="24"/>
    </row>
    <row r="158" spans="1:16" ht="53.25" customHeight="1" x14ac:dyDescent="0.2">
      <c r="A158" s="28" t="s">
        <v>137</v>
      </c>
      <c r="B158" s="99">
        <f>B51</f>
        <v>8.9999999999999993E-3</v>
      </c>
      <c r="C158" s="88" t="s">
        <v>175</v>
      </c>
      <c r="D158" s="141" t="s">
        <v>140</v>
      </c>
      <c r="E158" s="181">
        <f>פרוגרמה!C13*תחשיב!D13*תחשיב!B7/1000</f>
        <v>0</v>
      </c>
      <c r="F158" s="264">
        <f>B158*E158*B52</f>
        <v>0</v>
      </c>
      <c r="G158" s="182"/>
      <c r="H158" s="182"/>
      <c r="I158" s="224"/>
      <c r="J158" s="106"/>
      <c r="N158" s="24"/>
      <c r="O158" s="24"/>
      <c r="P158" s="24"/>
    </row>
    <row r="159" spans="1:16" ht="31.5" customHeight="1" x14ac:dyDescent="0.2">
      <c r="A159" s="248" t="s">
        <v>236</v>
      </c>
      <c r="B159" s="249">
        <f>B51</f>
        <v>8.9999999999999993E-3</v>
      </c>
      <c r="C159" s="88" t="s">
        <v>176</v>
      </c>
      <c r="D159" s="141" t="s">
        <v>141</v>
      </c>
      <c r="E159" s="250">
        <f>B39*B41*B40/1000</f>
        <v>0</v>
      </c>
      <c r="F159" s="264">
        <f>B159*E159*B52</f>
        <v>0</v>
      </c>
      <c r="G159" s="182"/>
      <c r="H159" s="182"/>
      <c r="I159" s="224"/>
      <c r="J159" s="106"/>
      <c r="N159" s="24"/>
      <c r="O159" s="24"/>
      <c r="P159" s="24"/>
    </row>
    <row r="160" spans="1:16" s="48" customFormat="1" ht="24.75" customHeight="1" thickBot="1" x14ac:dyDescent="0.25">
      <c r="A160" s="265" t="s">
        <v>163</v>
      </c>
      <c r="B160" s="266"/>
      <c r="C160" s="266"/>
      <c r="D160" s="266"/>
      <c r="E160" s="267"/>
      <c r="F160" s="349">
        <f>SUM(F155:F159)</f>
        <v>0</v>
      </c>
      <c r="G160" s="182"/>
      <c r="H160" s="182"/>
      <c r="I160" s="224"/>
      <c r="J160" s="72"/>
      <c r="K160" s="72"/>
      <c r="L160" s="72"/>
      <c r="M160" s="72"/>
    </row>
    <row r="161" spans="1:16" s="104" customFormat="1" ht="20.100000000000001" hidden="1" customHeight="1" x14ac:dyDescent="0.2">
      <c r="A161" s="347"/>
      <c r="B161" s="347"/>
      <c r="C161" s="347"/>
      <c r="D161" s="347"/>
      <c r="E161" s="348"/>
      <c r="F161" s="350" t="e">
        <f>F160/(B165+B166+B167+B168+#REF!)</f>
        <v>#REF!</v>
      </c>
      <c r="G161" s="183"/>
      <c r="H161" s="179"/>
      <c r="I161" s="224"/>
      <c r="J161" s="131"/>
      <c r="K161" s="131"/>
      <c r="L161" s="131"/>
      <c r="M161" s="131"/>
    </row>
    <row r="162" spans="1:16" s="48" customFormat="1" ht="20.100000000000001" customHeight="1" thickBot="1" x14ac:dyDescent="0.25">
      <c r="A162" s="91"/>
      <c r="B162" s="91"/>
      <c r="C162" s="91"/>
      <c r="D162" s="91"/>
      <c r="E162" s="129"/>
      <c r="F162" s="178"/>
      <c r="G162" s="183"/>
      <c r="H162" s="179"/>
      <c r="I162" s="224"/>
      <c r="J162" s="139"/>
      <c r="K162" s="94"/>
      <c r="L162" s="94"/>
      <c r="M162" s="72"/>
      <c r="N162" s="72"/>
      <c r="O162" s="72"/>
      <c r="P162" s="72"/>
    </row>
    <row r="163" spans="1:16" ht="20.100000000000001" customHeight="1" thickBot="1" x14ac:dyDescent="0.25">
      <c r="A163" s="278" t="s">
        <v>55</v>
      </c>
      <c r="B163" s="279"/>
      <c r="C163" s="106"/>
      <c r="D163" s="106"/>
      <c r="E163" s="106"/>
      <c r="H163" s="173"/>
      <c r="I163" s="224"/>
      <c r="J163" s="96"/>
      <c r="K163" s="94"/>
      <c r="L163" s="94"/>
    </row>
    <row r="164" spans="1:16" ht="21.95" customHeight="1" x14ac:dyDescent="0.2">
      <c r="A164" s="92"/>
      <c r="B164" s="268" t="s">
        <v>56</v>
      </c>
      <c r="C164" s="106"/>
      <c r="D164" s="106"/>
      <c r="E164" s="106"/>
      <c r="I164" s="106"/>
      <c r="J164" s="106"/>
      <c r="K164" s="24"/>
      <c r="L164" s="24"/>
      <c r="M164" s="24"/>
      <c r="N164" s="24"/>
      <c r="O164" s="24"/>
      <c r="P164" s="24"/>
    </row>
    <row r="165" spans="1:16" ht="21.95" customHeight="1" x14ac:dyDescent="0.2">
      <c r="A165" s="83" t="s">
        <v>105</v>
      </c>
      <c r="B165" s="122">
        <f>E79</f>
        <v>0</v>
      </c>
      <c r="C165" s="106"/>
      <c r="D165" s="106"/>
      <c r="E165" s="106"/>
      <c r="I165" s="106"/>
      <c r="J165" s="106"/>
      <c r="K165" s="24"/>
      <c r="L165" s="24"/>
      <c r="M165" s="24"/>
      <c r="N165" s="24"/>
      <c r="O165" s="24"/>
      <c r="P165" s="24"/>
    </row>
    <row r="166" spans="1:16" ht="21.95" customHeight="1" x14ac:dyDescent="0.2">
      <c r="A166" s="83" t="s">
        <v>57</v>
      </c>
      <c r="B166" s="122">
        <f>F105</f>
        <v>0</v>
      </c>
      <c r="C166" s="106"/>
      <c r="D166" s="106"/>
      <c r="E166" s="106"/>
      <c r="I166" s="106"/>
      <c r="J166" s="106"/>
      <c r="K166" s="24"/>
      <c r="L166" s="24"/>
      <c r="M166" s="24"/>
      <c r="N166" s="24"/>
      <c r="O166" s="24"/>
      <c r="P166" s="24"/>
    </row>
    <row r="167" spans="1:16" ht="21.95" customHeight="1" x14ac:dyDescent="0.2">
      <c r="A167" s="83" t="s">
        <v>58</v>
      </c>
      <c r="B167" s="122">
        <f>F137</f>
        <v>0</v>
      </c>
      <c r="C167" s="106"/>
      <c r="D167" s="106"/>
      <c r="E167" s="106"/>
      <c r="I167" s="106"/>
      <c r="J167" s="106"/>
      <c r="K167" s="24"/>
      <c r="L167" s="24"/>
      <c r="M167" s="24"/>
      <c r="N167" s="24"/>
      <c r="O167" s="24"/>
      <c r="P167" s="24"/>
    </row>
    <row r="168" spans="1:16" ht="21.95" hidden="1" customHeight="1" x14ac:dyDescent="0.2">
      <c r="A168" s="83" t="s">
        <v>218</v>
      </c>
      <c r="B168" s="122">
        <f>E150</f>
        <v>0</v>
      </c>
      <c r="C168" s="106"/>
      <c r="D168" s="106"/>
      <c r="E168" s="106"/>
      <c r="I168" s="106"/>
      <c r="J168" s="106"/>
      <c r="K168" s="24"/>
      <c r="L168" s="24"/>
      <c r="M168" s="24"/>
      <c r="N168" s="24"/>
      <c r="O168" s="24"/>
      <c r="P168" s="24"/>
    </row>
    <row r="169" spans="1:16" ht="21.95" customHeight="1" x14ac:dyDescent="0.2">
      <c r="A169" s="83" t="s">
        <v>67</v>
      </c>
      <c r="B169" s="122">
        <f>F160</f>
        <v>0</v>
      </c>
      <c r="C169" s="106"/>
      <c r="D169" s="106"/>
      <c r="E169" s="106"/>
      <c r="I169" s="106"/>
      <c r="J169" s="106"/>
      <c r="K169" s="24"/>
      <c r="L169" s="24"/>
      <c r="M169" s="24"/>
      <c r="N169" s="24"/>
      <c r="O169" s="24"/>
      <c r="P169" s="24"/>
    </row>
    <row r="170" spans="1:16" ht="21.95" customHeight="1" x14ac:dyDescent="0.2">
      <c r="A170" s="83" t="s">
        <v>62</v>
      </c>
      <c r="B170" s="120" t="s">
        <v>63</v>
      </c>
      <c r="C170" s="106"/>
      <c r="D170" s="106"/>
      <c r="E170" s="106"/>
      <c r="I170" s="106"/>
      <c r="J170" s="106"/>
      <c r="K170" s="24"/>
      <c r="L170" s="24"/>
      <c r="M170" s="24"/>
      <c r="N170" s="24"/>
      <c r="O170" s="24"/>
      <c r="P170" s="24"/>
    </row>
    <row r="171" spans="1:16" ht="21.95" customHeight="1" x14ac:dyDescent="0.2">
      <c r="A171" s="83" t="s">
        <v>70</v>
      </c>
      <c r="B171" s="120"/>
      <c r="C171" s="106"/>
      <c r="D171" s="106"/>
      <c r="E171" s="106"/>
      <c r="I171" s="106"/>
      <c r="J171" s="106"/>
      <c r="K171" s="24"/>
      <c r="L171" s="24"/>
      <c r="M171" s="24"/>
      <c r="N171" s="24"/>
      <c r="O171" s="24"/>
      <c r="P171" s="24"/>
    </row>
    <row r="172" spans="1:16" ht="21.95" customHeight="1" x14ac:dyDescent="0.2">
      <c r="A172" s="83" t="s">
        <v>249</v>
      </c>
      <c r="B172" s="120"/>
      <c r="C172" s="106"/>
      <c r="D172" s="106"/>
      <c r="E172" s="106"/>
      <c r="I172" s="106"/>
      <c r="J172" s="106"/>
      <c r="K172" s="24"/>
      <c r="L172" s="24"/>
      <c r="M172" s="24"/>
      <c r="N172" s="24"/>
      <c r="O172" s="24"/>
      <c r="P172" s="24"/>
    </row>
    <row r="173" spans="1:16" ht="21.95" customHeight="1" x14ac:dyDescent="0.2">
      <c r="A173" s="83"/>
      <c r="B173" s="120"/>
      <c r="C173" s="106"/>
      <c r="D173" s="106"/>
      <c r="E173" s="106"/>
      <c r="I173" s="106"/>
      <c r="J173" s="106"/>
      <c r="K173" s="24"/>
      <c r="L173" s="24"/>
      <c r="M173" s="24"/>
      <c r="N173" s="24"/>
      <c r="O173" s="24"/>
      <c r="P173" s="24"/>
    </row>
    <row r="174" spans="1:16" s="48" customFormat="1" ht="21.95" customHeight="1" thickBot="1" x14ac:dyDescent="0.25">
      <c r="A174" s="89" t="s">
        <v>59</v>
      </c>
      <c r="B174" s="93">
        <f>SUM(B165:B173)</f>
        <v>0</v>
      </c>
      <c r="C174" s="106"/>
      <c r="D174" s="106"/>
      <c r="E174" s="106"/>
      <c r="F174" s="106"/>
      <c r="G174" s="106"/>
      <c r="H174" s="72"/>
      <c r="I174" s="72"/>
      <c r="J174" s="72"/>
    </row>
    <row r="175" spans="1:16" s="48" customFormat="1" ht="20.100000000000001" customHeight="1" x14ac:dyDescent="0.2">
      <c r="A175" s="91"/>
      <c r="B175" s="91"/>
      <c r="C175" s="106"/>
      <c r="D175" s="106"/>
      <c r="E175" s="106"/>
      <c r="F175" s="106"/>
      <c r="G175" s="106"/>
      <c r="H175" s="72"/>
      <c r="I175" s="72"/>
      <c r="J175" s="72"/>
    </row>
    <row r="176" spans="1:16" ht="20.100000000000001" customHeight="1" thickBot="1" x14ac:dyDescent="0.25">
      <c r="A176" s="95"/>
      <c r="B176" s="95"/>
      <c r="C176" s="106"/>
      <c r="D176" s="106"/>
      <c r="E176" s="106"/>
      <c r="I176" s="106"/>
      <c r="J176" s="106"/>
      <c r="K176" s="24"/>
      <c r="L176" s="24"/>
      <c r="M176" s="24"/>
      <c r="N176" s="24"/>
      <c r="O176" s="24"/>
      <c r="P176" s="24"/>
    </row>
    <row r="177" spans="1:16" ht="20.100000000000001" customHeight="1" thickBot="1" x14ac:dyDescent="0.25">
      <c r="A177" s="278" t="s">
        <v>60</v>
      </c>
      <c r="B177" s="279"/>
      <c r="C177" s="106"/>
      <c r="D177" s="106"/>
      <c r="E177" s="106"/>
      <c r="H177" s="173"/>
      <c r="I177" s="224"/>
      <c r="J177" s="96"/>
      <c r="K177" s="94"/>
      <c r="L177" s="94"/>
    </row>
    <row r="178" spans="1:16" ht="21.95" customHeight="1" x14ac:dyDescent="0.2">
      <c r="A178" s="83" t="s">
        <v>61</v>
      </c>
      <c r="B178" s="259">
        <f>פרוגרמה!B80</f>
        <v>0</v>
      </c>
      <c r="C178" s="106"/>
      <c r="D178" s="105"/>
      <c r="E178" s="106"/>
      <c r="I178" s="106"/>
      <c r="J178" s="24"/>
      <c r="K178" s="24"/>
      <c r="L178" s="24"/>
      <c r="M178" s="24"/>
      <c r="N178" s="24"/>
      <c r="O178" s="24"/>
      <c r="P178" s="24"/>
    </row>
    <row r="179" spans="1:16" ht="21.95" customHeight="1" x14ac:dyDescent="0.2">
      <c r="A179" s="83" t="s">
        <v>146</v>
      </c>
      <c r="B179" s="257">
        <f>G69</f>
        <v>0</v>
      </c>
      <c r="C179" s="106"/>
      <c r="D179" s="105"/>
      <c r="E179" s="106"/>
      <c r="I179" s="106"/>
      <c r="J179" s="24"/>
      <c r="K179" s="24"/>
      <c r="L179" s="24"/>
      <c r="M179" s="24"/>
      <c r="N179" s="24"/>
      <c r="O179" s="24"/>
      <c r="P179" s="24"/>
    </row>
    <row r="180" spans="1:16" ht="21.95" customHeight="1" x14ac:dyDescent="0.2">
      <c r="A180" s="83" t="s">
        <v>147</v>
      </c>
      <c r="B180" s="257">
        <f>B174</f>
        <v>0</v>
      </c>
      <c r="C180" s="106"/>
      <c r="D180" s="105"/>
      <c r="E180" s="106"/>
      <c r="I180" s="106"/>
      <c r="J180" s="24"/>
      <c r="K180" s="24"/>
      <c r="L180" s="24"/>
      <c r="M180" s="24"/>
      <c r="N180" s="24"/>
      <c r="O180" s="24"/>
      <c r="P180" s="24"/>
    </row>
    <row r="181" spans="1:16" ht="21.95" customHeight="1" x14ac:dyDescent="0.2">
      <c r="A181" s="83" t="s">
        <v>148</v>
      </c>
      <c r="B181" s="257">
        <f>B179-B180</f>
        <v>0</v>
      </c>
      <c r="C181" s="106"/>
      <c r="D181" s="105"/>
      <c r="E181" s="106"/>
      <c r="I181" s="106"/>
      <c r="J181" s="24"/>
      <c r="K181" s="24"/>
      <c r="L181" s="24"/>
      <c r="M181" s="24"/>
      <c r="N181" s="24"/>
      <c r="O181" s="24"/>
      <c r="P181" s="24"/>
    </row>
    <row r="182" spans="1:16" ht="21.95" customHeight="1" x14ac:dyDescent="0.2">
      <c r="A182" s="83"/>
      <c r="B182" s="257"/>
      <c r="C182" s="106"/>
      <c r="D182" s="105"/>
      <c r="E182" s="106"/>
      <c r="I182" s="106"/>
      <c r="J182" s="24"/>
      <c r="K182" s="24"/>
      <c r="L182" s="24"/>
      <c r="M182" s="24"/>
      <c r="N182" s="24"/>
      <c r="O182" s="24"/>
      <c r="P182" s="24"/>
    </row>
    <row r="183" spans="1:16" ht="21.95" customHeight="1" x14ac:dyDescent="0.2">
      <c r="A183" s="83"/>
      <c r="B183" s="257">
        <f>B181+B182</f>
        <v>0</v>
      </c>
      <c r="C183" s="106"/>
      <c r="D183" s="105"/>
      <c r="E183" s="106"/>
      <c r="I183" s="106"/>
      <c r="J183" s="24"/>
      <c r="K183" s="24"/>
      <c r="L183" s="24"/>
      <c r="M183" s="24"/>
      <c r="N183" s="24"/>
      <c r="O183" s="24"/>
      <c r="P183" s="24"/>
    </row>
    <row r="184" spans="1:16" ht="21.95" customHeight="1" x14ac:dyDescent="0.2">
      <c r="A184" s="83" t="s">
        <v>64</v>
      </c>
      <c r="B184" s="367" t="e">
        <f>B183/B180</f>
        <v>#DIV/0!</v>
      </c>
      <c r="C184" s="106"/>
      <c r="D184" s="105"/>
      <c r="E184" s="106"/>
      <c r="I184" s="106"/>
      <c r="J184" s="24"/>
      <c r="K184" s="24"/>
      <c r="L184" s="24"/>
      <c r="M184" s="24"/>
      <c r="N184" s="24"/>
      <c r="O184" s="24"/>
      <c r="P184" s="24"/>
    </row>
    <row r="185" spans="1:16" ht="21.95" customHeight="1" x14ac:dyDescent="0.2">
      <c r="A185" s="83" t="s">
        <v>65</v>
      </c>
      <c r="B185" s="273" t="e">
        <f>B181/B179</f>
        <v>#DIV/0!</v>
      </c>
      <c r="C185" s="106"/>
      <c r="D185" s="105"/>
      <c r="E185" s="106"/>
      <c r="I185" s="106"/>
      <c r="J185" s="24"/>
      <c r="K185" s="24"/>
      <c r="L185" s="24"/>
      <c r="M185" s="24"/>
      <c r="N185" s="24"/>
      <c r="O185" s="24"/>
      <c r="P185" s="24"/>
    </row>
    <row r="186" spans="1:16" ht="21.95" customHeight="1" x14ac:dyDescent="0.2">
      <c r="A186" s="83" t="s">
        <v>66</v>
      </c>
      <c r="B186" s="274" t="e">
        <f>פרוגרמה!B80/פרוגרמה!B69</f>
        <v>#DIV/0!</v>
      </c>
      <c r="C186" s="106"/>
      <c r="D186" s="105"/>
      <c r="E186" s="106"/>
      <c r="I186" s="106"/>
      <c r="J186" s="24"/>
      <c r="K186" s="24"/>
      <c r="L186" s="24"/>
      <c r="M186" s="24"/>
      <c r="N186" s="24"/>
      <c r="O186" s="24"/>
      <c r="P186" s="24"/>
    </row>
    <row r="187" spans="1:16" ht="21" customHeight="1" thickBot="1" x14ac:dyDescent="0.25">
      <c r="A187" s="269" t="s">
        <v>178</v>
      </c>
      <c r="B187" s="275" t="e">
        <f>פרוגרמה!F31/B86</f>
        <v>#DIV/0!</v>
      </c>
      <c r="C187" s="106"/>
      <c r="D187" s="105"/>
      <c r="E187" s="106"/>
      <c r="I187" s="106"/>
      <c r="J187" s="24"/>
      <c r="K187" s="24"/>
      <c r="L187" s="24"/>
      <c r="M187" s="24"/>
      <c r="N187" s="24"/>
      <c r="O187" s="24"/>
      <c r="P187" s="24"/>
    </row>
    <row r="188" spans="1:16" ht="20.100000000000001" customHeight="1" x14ac:dyDescent="0.2"/>
    <row r="189" spans="1:16" ht="20.100000000000001" customHeight="1" x14ac:dyDescent="0.2">
      <c r="A189" s="97" t="s">
        <v>149</v>
      </c>
    </row>
    <row r="190" spans="1:16" ht="20.100000000000001" customHeight="1" x14ac:dyDescent="0.2">
      <c r="A190" s="238"/>
      <c r="B190" s="239" t="s">
        <v>150</v>
      </c>
      <c r="C190" s="239" t="s">
        <v>25</v>
      </c>
      <c r="D190" s="239" t="s">
        <v>152</v>
      </c>
    </row>
    <row r="191" spans="1:16" ht="20.100000000000001" customHeight="1" x14ac:dyDescent="0.2">
      <c r="A191" s="82" t="s">
        <v>33</v>
      </c>
      <c r="B191" s="280">
        <f>פרוגרמה!K80</f>
        <v>0</v>
      </c>
      <c r="C191" s="280">
        <f>B85+B111</f>
        <v>0</v>
      </c>
      <c r="D191" s="280">
        <f>C191-B191</f>
        <v>0</v>
      </c>
    </row>
    <row r="192" spans="1:16" ht="20.100000000000001" customHeight="1" x14ac:dyDescent="0.2">
      <c r="A192" s="144" t="s">
        <v>113</v>
      </c>
      <c r="B192" s="280">
        <f>פרוגרמה!B10</f>
        <v>0</v>
      </c>
      <c r="C192" s="280">
        <f>B112*E112+B86*E86</f>
        <v>0</v>
      </c>
      <c r="D192" s="280">
        <f t="shared" ref="D192:D196" si="1">C192-B192</f>
        <v>0</v>
      </c>
    </row>
    <row r="193" spans="1:4" ht="20.100000000000001" hidden="1" customHeight="1" x14ac:dyDescent="0.2">
      <c r="A193" s="144" t="s">
        <v>112</v>
      </c>
      <c r="B193" s="280" t="e">
        <f>פרוגרמה!#REF!</f>
        <v>#REF!</v>
      </c>
      <c r="C193" s="280" t="e">
        <f>#REF!*#REF!+#REF!*#REF!</f>
        <v>#REF!</v>
      </c>
      <c r="D193" s="280" t="e">
        <f t="shared" si="1"/>
        <v>#REF!</v>
      </c>
    </row>
    <row r="194" spans="1:4" ht="20.100000000000001" customHeight="1" x14ac:dyDescent="0.2">
      <c r="A194" s="82" t="s">
        <v>34</v>
      </c>
      <c r="B194" s="280">
        <f>פרוגרמה!L80</f>
        <v>0</v>
      </c>
      <c r="C194" s="280">
        <f>B87+B113</f>
        <v>0</v>
      </c>
      <c r="D194" s="280">
        <f t="shared" si="1"/>
        <v>0</v>
      </c>
    </row>
    <row r="195" spans="1:4" ht="20.100000000000001" customHeight="1" x14ac:dyDescent="0.2">
      <c r="A195" s="82" t="s">
        <v>35</v>
      </c>
      <c r="B195" s="280">
        <f>פרוגרמה!M80</f>
        <v>0</v>
      </c>
      <c r="C195" s="280">
        <f>B88+B114</f>
        <v>0</v>
      </c>
      <c r="D195" s="280">
        <f t="shared" si="1"/>
        <v>0</v>
      </c>
    </row>
    <row r="196" spans="1:4" ht="20.100000000000001" customHeight="1" x14ac:dyDescent="0.2">
      <c r="A196" s="82" t="s">
        <v>36</v>
      </c>
      <c r="B196" s="280">
        <f>פרוגרמה!G102</f>
        <v>0</v>
      </c>
      <c r="C196" s="280">
        <f>B89+B115</f>
        <v>0</v>
      </c>
      <c r="D196" s="280">
        <f t="shared" si="1"/>
        <v>0</v>
      </c>
    </row>
    <row r="197" spans="1:4" ht="20.100000000000001" customHeight="1" x14ac:dyDescent="0.2"/>
    <row r="198" spans="1:4" ht="20.100000000000001" customHeight="1" x14ac:dyDescent="0.2">
      <c r="A198" s="32" t="s">
        <v>181</v>
      </c>
    </row>
    <row r="199" spans="1:4" ht="20.100000000000001" customHeight="1" x14ac:dyDescent="0.2">
      <c r="A199" s="32"/>
      <c r="B199" s="97" t="s">
        <v>186</v>
      </c>
    </row>
    <row r="200" spans="1:4" ht="20.100000000000001" customHeight="1" x14ac:dyDescent="0.2">
      <c r="A200" s="31" t="s">
        <v>182</v>
      </c>
      <c r="B200" s="328">
        <f>G66</f>
        <v>0</v>
      </c>
    </row>
    <row r="201" spans="1:4" ht="20.100000000000001" customHeight="1" x14ac:dyDescent="0.2">
      <c r="A201" s="31" t="s">
        <v>183</v>
      </c>
      <c r="B201" s="328">
        <f>G67</f>
        <v>0</v>
      </c>
    </row>
    <row r="202" spans="1:4" ht="20.100000000000001" customHeight="1" x14ac:dyDescent="0.2">
      <c r="A202" s="31" t="s">
        <v>184</v>
      </c>
      <c r="B202" s="329">
        <v>0.15</v>
      </c>
    </row>
    <row r="203" spans="1:4" ht="20.100000000000001" customHeight="1" x14ac:dyDescent="0.2">
      <c r="A203" s="31" t="s">
        <v>185</v>
      </c>
      <c r="B203" s="328">
        <f>B201/(1+B202)</f>
        <v>0</v>
      </c>
    </row>
    <row r="204" spans="1:4" ht="20.100000000000001" customHeight="1" x14ac:dyDescent="0.2">
      <c r="A204" s="31" t="s">
        <v>187</v>
      </c>
      <c r="B204" s="328">
        <f>-F105</f>
        <v>0</v>
      </c>
    </row>
    <row r="205" spans="1:4" ht="20.100000000000001" customHeight="1" x14ac:dyDescent="0.2">
      <c r="A205" s="31" t="s">
        <v>188</v>
      </c>
      <c r="B205" s="328">
        <f>B203+B204</f>
        <v>0</v>
      </c>
    </row>
    <row r="206" spans="1:4" ht="20.100000000000001" customHeight="1" x14ac:dyDescent="0.2">
      <c r="A206" s="31" t="s">
        <v>103</v>
      </c>
      <c r="B206" s="328" t="e">
        <f>B205*1000/פרוגרמה!J78</f>
        <v>#DIV/0!</v>
      </c>
    </row>
    <row r="207" spans="1:4" ht="20.100000000000001" customHeight="1" x14ac:dyDescent="0.2">
      <c r="A207" s="31" t="s">
        <v>214</v>
      </c>
      <c r="B207" s="328" t="e">
        <f>B205*1000/פרוגרמה!I78</f>
        <v>#DIV/0!</v>
      </c>
    </row>
    <row r="208" spans="1:4" ht="20.100000000000001" customHeight="1" x14ac:dyDescent="0.2">
      <c r="A208" s="31" t="s">
        <v>96</v>
      </c>
      <c r="B208" s="328" t="e">
        <f>B205*1000/פרוגרמה!B78</f>
        <v>#DIV/0!</v>
      </c>
    </row>
    <row r="209" spans="1:2" ht="20.100000000000001" customHeight="1" x14ac:dyDescent="0.2">
      <c r="A209" s="31" t="s">
        <v>189</v>
      </c>
      <c r="B209" s="330">
        <f>B47</f>
        <v>0.05</v>
      </c>
    </row>
    <row r="210" spans="1:2" ht="20.100000000000001" customHeight="1" x14ac:dyDescent="0.2">
      <c r="A210" s="31" t="s">
        <v>53</v>
      </c>
      <c r="B210" s="328">
        <f>B205*B209</f>
        <v>0</v>
      </c>
    </row>
    <row r="211" spans="1:2" ht="20.100000000000001" customHeight="1" x14ac:dyDescent="0.2"/>
    <row r="212" spans="1:2" ht="20.100000000000001" customHeight="1" x14ac:dyDescent="0.2">
      <c r="A212" s="97" t="s">
        <v>219</v>
      </c>
    </row>
    <row r="213" spans="1:2" ht="20.100000000000001" customHeight="1" x14ac:dyDescent="0.2">
      <c r="A213" s="31" t="s">
        <v>220</v>
      </c>
      <c r="B213" s="328" t="e">
        <f>H66</f>
        <v>#DIV/0!</v>
      </c>
    </row>
    <row r="214" spans="1:2" ht="20.100000000000001" customHeight="1" x14ac:dyDescent="0.2">
      <c r="A214" s="31" t="s">
        <v>221</v>
      </c>
      <c r="B214" s="328" t="e">
        <f>H67</f>
        <v>#DIV/0!</v>
      </c>
    </row>
    <row r="215" spans="1:2" ht="20.100000000000001" customHeight="1" x14ac:dyDescent="0.2">
      <c r="A215" s="31" t="s">
        <v>222</v>
      </c>
      <c r="B215" s="330">
        <v>0.18</v>
      </c>
    </row>
    <row r="216" spans="1:2" ht="20.100000000000001" customHeight="1" x14ac:dyDescent="0.2">
      <c r="A216" s="31" t="s">
        <v>185</v>
      </c>
      <c r="B216" s="328" t="e">
        <f>B214/(1+B215)</f>
        <v>#DIV/0!</v>
      </c>
    </row>
    <row r="217" spans="1:2" ht="20.100000000000001" customHeight="1" x14ac:dyDescent="0.2">
      <c r="A217" s="31" t="s">
        <v>223</v>
      </c>
      <c r="B217" s="328" t="e">
        <f>F107</f>
        <v>#DIV/0!</v>
      </c>
    </row>
    <row r="218" spans="1:2" ht="20.100000000000001" customHeight="1" x14ac:dyDescent="0.2">
      <c r="A218" s="98" t="s">
        <v>219</v>
      </c>
      <c r="B218" s="363" t="e">
        <f>B216-B217</f>
        <v>#DIV/0!</v>
      </c>
    </row>
    <row r="219" spans="1:2" ht="20.100000000000001" customHeight="1" x14ac:dyDescent="0.2">
      <c r="A219" s="98" t="s">
        <v>224</v>
      </c>
      <c r="B219" s="363" t="e">
        <f>B218/פרוגרמה!J79</f>
        <v>#DIV/0!</v>
      </c>
    </row>
    <row r="220" spans="1:2" ht="20.100000000000001" customHeight="1" x14ac:dyDescent="0.2">
      <c r="A220" s="98" t="s">
        <v>225</v>
      </c>
      <c r="B220" s="363" t="e">
        <f>B218/פרוגרמה!I79</f>
        <v>#DIV/0!</v>
      </c>
    </row>
    <row r="221" spans="1:2" ht="20.100000000000001" customHeight="1" x14ac:dyDescent="0.2"/>
    <row r="222" spans="1:2" ht="20.100000000000001" customHeight="1" x14ac:dyDescent="0.2"/>
    <row r="223" spans="1:2" ht="20.100000000000001" customHeight="1" x14ac:dyDescent="0.2"/>
    <row r="224" spans="1:2" ht="20.100000000000001" customHeight="1" x14ac:dyDescent="0.2"/>
    <row r="225" spans="5:16" ht="20.100000000000001" customHeight="1" x14ac:dyDescent="0.2"/>
    <row r="226" spans="5:16" ht="20.100000000000001" customHeight="1" x14ac:dyDescent="0.2"/>
    <row r="227" spans="5:16" ht="20.100000000000001" customHeight="1" x14ac:dyDescent="0.2"/>
    <row r="228" spans="5:16" ht="20.100000000000001" customHeight="1" x14ac:dyDescent="0.2"/>
    <row r="229" spans="5:16" ht="20.100000000000001" customHeight="1" x14ac:dyDescent="0.2"/>
    <row r="230" spans="5:16" ht="20.100000000000001" customHeight="1" x14ac:dyDescent="0.2"/>
    <row r="231" spans="5:16" ht="20.100000000000001" customHeight="1" x14ac:dyDescent="0.2"/>
    <row r="232" spans="5:16" ht="20.100000000000001" customHeight="1" x14ac:dyDescent="0.2"/>
    <row r="233" spans="5:16" ht="20.100000000000001" customHeight="1" x14ac:dyDescent="0.2"/>
    <row r="234" spans="5:16" ht="20.100000000000001" customHeight="1" x14ac:dyDescent="0.2"/>
    <row r="235" spans="5:16" ht="20.100000000000001" customHeight="1" x14ac:dyDescent="0.2"/>
    <row r="236" spans="5:16" ht="20.100000000000001" customHeight="1" x14ac:dyDescent="0.2"/>
    <row r="237" spans="5:16" ht="20.100000000000001" customHeight="1" x14ac:dyDescent="0.2"/>
    <row r="238" spans="5:16" s="48" customFormat="1" ht="20.100000000000001" customHeight="1" x14ac:dyDescent="0.2">
      <c r="E238" s="336"/>
      <c r="F238" s="72"/>
      <c r="G238" s="72"/>
      <c r="H238" s="72"/>
      <c r="J238" s="365"/>
      <c r="K238" s="72"/>
      <c r="L238" s="72"/>
      <c r="M238" s="72"/>
      <c r="N238" s="72"/>
      <c r="O238" s="72"/>
      <c r="P238" s="72"/>
    </row>
    <row r="239" spans="5:16" ht="20.100000000000001" customHeight="1" x14ac:dyDescent="0.2"/>
    <row r="240" spans="5:16" ht="20.100000000000001" customHeight="1" x14ac:dyDescent="0.2"/>
    <row r="241" ht="20.100000000000001" customHeight="1" x14ac:dyDescent="0.2"/>
    <row r="242" ht="20.100000000000001" customHeight="1" x14ac:dyDescent="0.2"/>
    <row r="243" ht="20.100000000000001" customHeight="1" x14ac:dyDescent="0.2"/>
    <row r="244" ht="20.100000000000001" customHeight="1" x14ac:dyDescent="0.2"/>
    <row r="245" ht="20.100000000000001" customHeight="1" x14ac:dyDescent="0.2"/>
    <row r="246" ht="20.100000000000001" customHeight="1" x14ac:dyDescent="0.2"/>
    <row r="247" ht="20.100000000000001" customHeight="1" x14ac:dyDescent="0.2"/>
    <row r="248" ht="20.100000000000001" customHeight="1" x14ac:dyDescent="0.2"/>
    <row r="249" ht="20.100000000000001" customHeight="1" x14ac:dyDescent="0.2"/>
    <row r="250" ht="20.100000000000001" customHeight="1" x14ac:dyDescent="0.2"/>
    <row r="251" ht="20.100000000000001" customHeight="1" x14ac:dyDescent="0.2"/>
    <row r="252" ht="20.100000000000001" customHeight="1" x14ac:dyDescent="0.2"/>
    <row r="253" ht="20.100000000000001" customHeight="1" x14ac:dyDescent="0.2"/>
    <row r="254" ht="20.100000000000001" customHeight="1" x14ac:dyDescent="0.2"/>
    <row r="255" ht="20.100000000000001" customHeight="1" x14ac:dyDescent="0.2"/>
    <row r="256" ht="20.100000000000001" customHeight="1" x14ac:dyDescent="0.2"/>
    <row r="257" ht="20.100000000000001" customHeight="1" x14ac:dyDescent="0.2"/>
    <row r="258" ht="20.100000000000001" customHeight="1" x14ac:dyDescent="0.2"/>
    <row r="259" ht="20.100000000000001" customHeight="1" x14ac:dyDescent="0.2"/>
    <row r="260" ht="20.100000000000001" customHeight="1" x14ac:dyDescent="0.2"/>
    <row r="261" ht="20.100000000000001" customHeight="1" x14ac:dyDescent="0.2"/>
    <row r="262" ht="20.100000000000001" customHeight="1" x14ac:dyDescent="0.2"/>
    <row r="263" ht="20.100000000000001" customHeight="1" x14ac:dyDescent="0.2"/>
    <row r="264" ht="20.100000000000001" customHeight="1" x14ac:dyDescent="0.2"/>
    <row r="265" ht="20.100000000000001" customHeight="1" x14ac:dyDescent="0.2"/>
    <row r="266" ht="20.100000000000001" customHeight="1" x14ac:dyDescent="0.2"/>
    <row r="267" ht="20.100000000000001" customHeight="1" x14ac:dyDescent="0.2"/>
    <row r="268" ht="20.100000000000001" customHeight="1" x14ac:dyDescent="0.2"/>
  </sheetData>
  <mergeCells count="37">
    <mergeCell ref="C56:D56"/>
    <mergeCell ref="C57:D57"/>
    <mergeCell ref="C58:D58"/>
    <mergeCell ref="C25:D25"/>
    <mergeCell ref="C27:D27"/>
    <mergeCell ref="C28:D28"/>
    <mergeCell ref="C43:D43"/>
    <mergeCell ref="C29:D29"/>
    <mergeCell ref="C35:D35"/>
    <mergeCell ref="C36:D36"/>
    <mergeCell ref="C37:D37"/>
    <mergeCell ref="C30:D30"/>
    <mergeCell ref="C31:D31"/>
    <mergeCell ref="C32:D32"/>
    <mergeCell ref="C33:D33"/>
    <mergeCell ref="C34:D34"/>
    <mergeCell ref="C38:D38"/>
    <mergeCell ref="D12:E12"/>
    <mergeCell ref="C23:D23"/>
    <mergeCell ref="C22:D22"/>
    <mergeCell ref="C24:D24"/>
    <mergeCell ref="C136:D136"/>
    <mergeCell ref="C40:D40"/>
    <mergeCell ref="C41:D41"/>
    <mergeCell ref="C42:D42"/>
    <mergeCell ref="C50:D50"/>
    <mergeCell ref="B78:E78"/>
    <mergeCell ref="C51:D51"/>
    <mergeCell ref="C52:D52"/>
    <mergeCell ref="C53:D53"/>
    <mergeCell ref="C44:D44"/>
    <mergeCell ref="C45:D45"/>
    <mergeCell ref="C46:D46"/>
    <mergeCell ref="C47:D47"/>
    <mergeCell ref="C48:D48"/>
    <mergeCell ref="C49:D49"/>
    <mergeCell ref="C59:D59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  <headerFooter>
    <oddHeader>&amp;Cרחוב רשב"ג, ירושלים
פינוי בינוי
יזם: דן בן עמרם
טיוטה</oddHeader>
  </headerFooter>
  <rowBreaks count="7" manualBreakCount="7">
    <brk id="19" max="16383" man="1"/>
    <brk id="53" max="16383" man="1"/>
    <brk id="70" max="16383" man="1"/>
    <brk id="80" max="16383" man="1"/>
    <brk id="106" max="16383" man="1"/>
    <brk id="144" max="16383" man="1"/>
    <brk id="16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4</vt:i4>
      </vt:variant>
      <vt:variant>
        <vt:lpstr>טווחים בעלי שם</vt:lpstr>
      </vt:variant>
      <vt:variant>
        <vt:i4>2</vt:i4>
      </vt:variant>
    </vt:vector>
  </HeadingPairs>
  <TitlesOfParts>
    <vt:vector size="6" baseType="lpstr">
      <vt:lpstr>מצב קיים</vt:lpstr>
      <vt:lpstr>נתוני השוואה</vt:lpstr>
      <vt:lpstr>פרוגרמה</vt:lpstr>
      <vt:lpstr>תחשיב</vt:lpstr>
      <vt:lpstr>פרוגרמה!WPrint_Area_W</vt:lpstr>
      <vt:lpstr>תחשיב!WPrint_Area_W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גלית אציל</dc:creator>
  <cp:lastModifiedBy>כרם ואן מיל</cp:lastModifiedBy>
  <cp:lastPrinted>2015-11-23T10:19:54Z</cp:lastPrinted>
  <dcterms:created xsi:type="dcterms:W3CDTF">2012-06-25T04:21:13Z</dcterms:created>
  <dcterms:modified xsi:type="dcterms:W3CDTF">2017-06-28T09:00:21Z</dcterms:modified>
</cp:coreProperties>
</file>